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457\Dropbox\JHI M drive - from 15012018\JHI WORK\PROJECTS\RESAS\1.1.4\new survey\PAPER WRITING\framing paper\LE subm\post-acceptance\"/>
    </mc:Choice>
  </mc:AlternateContent>
  <bookViews>
    <workbookView xWindow="480" yWindow="120" windowWidth="27800" windowHeight="12780"/>
  </bookViews>
  <sheets>
    <sheet name="Tables 3-4" sheetId="16" r:id="rId1"/>
    <sheet name="Pure RRM" sheetId="15" r:id="rId2"/>
    <sheet name="BCA - WTP per ha &amp; per year" sheetId="1" r:id="rId3"/>
    <sheet name="BCA - NPV_+10%overSQ, early" sheetId="3" r:id="rId4"/>
    <sheet name="BCA - NPV_+20%overSQ, early" sheetId="7" r:id="rId5"/>
    <sheet name="BCA - NPV_+30%overSQ, early" sheetId="8" r:id="rId6"/>
    <sheet name="BCA - NPV_+10%overSQ, midway" sheetId="9" r:id="rId7"/>
    <sheet name="BCA - NPV_+20%overSQ, midway" sheetId="10" r:id="rId8"/>
    <sheet name="BCA - NPV_+30%overSQ, midway" sheetId="4" r:id="rId9"/>
    <sheet name="BCA - NPV_+10%overSQ, late" sheetId="11" r:id="rId10"/>
    <sheet name="BCA - NPV_+20%overSQ, late" sheetId="12" r:id="rId11"/>
    <sheet name="BCA - NPV_+30%overSQ, late" sheetId="13" r:id="rId12"/>
    <sheet name="BCA - Summary" sheetId="14" r:id="rId13"/>
  </sheets>
  <calcPr calcId="162913"/>
</workbook>
</file>

<file path=xl/calcChain.xml><?xml version="1.0" encoding="utf-8"?>
<calcChain xmlns="http://schemas.openxmlformats.org/spreadsheetml/2006/main">
  <c r="C64" i="1" l="1"/>
  <c r="C63" i="1"/>
  <c r="B64" i="1"/>
  <c r="B63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C39" i="1"/>
  <c r="C38" i="1"/>
  <c r="B39" i="1"/>
  <c r="B38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C25" i="1"/>
  <c r="C24" i="1"/>
  <c r="B25" i="1"/>
  <c r="B24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O47" i="13" l="1"/>
  <c r="O45" i="13"/>
  <c r="O36" i="13"/>
  <c r="O10" i="13"/>
  <c r="N45" i="13"/>
  <c r="N43" i="13"/>
  <c r="N10" i="13"/>
  <c r="L45" i="13"/>
  <c r="L42" i="13"/>
  <c r="L10" i="13"/>
  <c r="K42" i="13"/>
  <c r="K11" i="13"/>
  <c r="K10" i="13"/>
  <c r="J10" i="13"/>
  <c r="I32" i="13"/>
  <c r="O47" i="12" l="1"/>
  <c r="O45" i="12"/>
  <c r="O42" i="12"/>
  <c r="O33" i="12"/>
  <c r="N45" i="12"/>
  <c r="N42" i="12"/>
  <c r="N34" i="12"/>
  <c r="L45" i="12"/>
  <c r="L41" i="12"/>
  <c r="L32" i="12"/>
  <c r="K41" i="12"/>
  <c r="K32" i="12"/>
  <c r="I40" i="12"/>
  <c r="I32" i="12"/>
  <c r="I10" i="12"/>
  <c r="O47" i="11"/>
  <c r="O45" i="11"/>
  <c r="N45" i="11"/>
  <c r="O43" i="11"/>
  <c r="O39" i="11"/>
  <c r="O10" i="11"/>
  <c r="N42" i="11"/>
  <c r="N10" i="11"/>
  <c r="L43" i="11"/>
  <c r="L34" i="11"/>
  <c r="L10" i="11"/>
  <c r="K32" i="11"/>
  <c r="K11" i="11"/>
  <c r="K10" i="11"/>
  <c r="J10" i="11"/>
  <c r="I43" i="11"/>
  <c r="I32" i="11"/>
  <c r="I10" i="11"/>
  <c r="O47" i="4"/>
  <c r="O45" i="4"/>
  <c r="O43" i="4"/>
  <c r="O35" i="4"/>
  <c r="O25" i="4"/>
  <c r="O10" i="4"/>
  <c r="N45" i="4"/>
  <c r="N43" i="4"/>
  <c r="N30" i="4"/>
  <c r="N10" i="4"/>
  <c r="L45" i="4"/>
  <c r="L42" i="4"/>
  <c r="L28" i="4"/>
  <c r="L10" i="4"/>
  <c r="K34" i="4"/>
  <c r="K25" i="4"/>
  <c r="K11" i="4"/>
  <c r="K10" i="4"/>
  <c r="J28" i="4"/>
  <c r="J21" i="4"/>
  <c r="J20" i="4"/>
  <c r="J10" i="4"/>
  <c r="I26" i="4"/>
  <c r="I10" i="4"/>
  <c r="O47" i="10"/>
  <c r="O45" i="10"/>
  <c r="O38" i="10"/>
  <c r="O27" i="10"/>
  <c r="O10" i="10"/>
  <c r="N45" i="10"/>
  <c r="N42" i="10"/>
  <c r="N27" i="10"/>
  <c r="N10" i="10"/>
  <c r="L45" i="10"/>
  <c r="L41" i="10"/>
  <c r="L22" i="10"/>
  <c r="L10" i="10"/>
  <c r="K41" i="10"/>
  <c r="K21" i="10"/>
  <c r="K11" i="10"/>
  <c r="K10" i="10"/>
  <c r="J40" i="10"/>
  <c r="J22" i="10"/>
  <c r="J33" i="10"/>
  <c r="J21" i="10"/>
  <c r="J10" i="10"/>
  <c r="I40" i="10"/>
  <c r="I24" i="10"/>
  <c r="I10" i="10"/>
  <c r="O47" i="9"/>
  <c r="O45" i="9"/>
  <c r="O42" i="9"/>
  <c r="O24" i="9"/>
  <c r="O10" i="9"/>
  <c r="N45" i="9"/>
  <c r="N40" i="9"/>
  <c r="N25" i="9"/>
  <c r="N10" i="9"/>
  <c r="L45" i="9"/>
  <c r="L42" i="9"/>
  <c r="L21" i="9"/>
  <c r="K21" i="9"/>
  <c r="K11" i="9"/>
  <c r="K10" i="9"/>
  <c r="J43" i="9"/>
  <c r="J31" i="9"/>
  <c r="J22" i="9"/>
  <c r="J21" i="9"/>
  <c r="J10" i="9"/>
  <c r="I34" i="9"/>
  <c r="I21" i="9"/>
  <c r="I10" i="9"/>
  <c r="O47" i="8"/>
  <c r="O45" i="8"/>
  <c r="O43" i="8"/>
  <c r="O32" i="8"/>
  <c r="O17" i="8"/>
  <c r="O10" i="8"/>
  <c r="N45" i="8"/>
  <c r="N43" i="8"/>
  <c r="N33" i="8"/>
  <c r="N10" i="8"/>
  <c r="L45" i="8"/>
  <c r="L41" i="8"/>
  <c r="L11" i="8"/>
  <c r="K37" i="8"/>
  <c r="K18" i="8"/>
  <c r="K10" i="8"/>
  <c r="I42" i="8"/>
  <c r="I18" i="8"/>
  <c r="I10" i="8"/>
  <c r="O47" i="7"/>
  <c r="O45" i="7"/>
  <c r="N45" i="7"/>
  <c r="L45" i="7"/>
  <c r="O42" i="7"/>
  <c r="O10" i="7"/>
  <c r="N42" i="7"/>
  <c r="N10" i="7"/>
  <c r="L42" i="7"/>
  <c r="L24" i="7"/>
  <c r="L10" i="7"/>
  <c r="K25" i="7"/>
  <c r="K14" i="7"/>
  <c r="K10" i="7"/>
  <c r="J10" i="7"/>
  <c r="I21" i="7"/>
  <c r="I12" i="7"/>
  <c r="I11" i="7"/>
  <c r="I10" i="7"/>
  <c r="K26" i="3"/>
  <c r="I11" i="3"/>
  <c r="I20" i="3"/>
  <c r="I10" i="3"/>
  <c r="I18" i="7" l="1"/>
  <c r="I22" i="7"/>
  <c r="I19" i="7"/>
  <c r="C10" i="7"/>
  <c r="L10" i="3"/>
  <c r="L45" i="3"/>
  <c r="O47" i="3"/>
  <c r="O45" i="3"/>
  <c r="N45" i="3"/>
  <c r="O10" i="3"/>
  <c r="N10" i="3"/>
  <c r="L22" i="3"/>
  <c r="K19" i="3"/>
  <c r="K22" i="3"/>
  <c r="K10" i="3"/>
  <c r="J10" i="3"/>
  <c r="I21" i="3"/>
  <c r="C10" i="3"/>
  <c r="M11" i="1"/>
  <c r="M10" i="1"/>
  <c r="M9" i="1"/>
  <c r="M8" i="1"/>
  <c r="M7" i="1"/>
  <c r="M6" i="1"/>
  <c r="K11" i="1"/>
  <c r="K10" i="1"/>
  <c r="K9" i="1"/>
  <c r="K8" i="1"/>
  <c r="K7" i="1"/>
  <c r="K6" i="1"/>
  <c r="I11" i="1"/>
  <c r="I10" i="1"/>
  <c r="I9" i="1"/>
  <c r="I8" i="1"/>
  <c r="I7" i="1"/>
  <c r="I6" i="1"/>
  <c r="G11" i="1"/>
  <c r="G10" i="1"/>
  <c r="G9" i="1"/>
  <c r="G8" i="1"/>
  <c r="G7" i="1"/>
  <c r="G6" i="1"/>
  <c r="AS89" i="16" l="1"/>
  <c r="AS87" i="16"/>
  <c r="AS85" i="16"/>
  <c r="E6" i="1" l="1"/>
  <c r="W12" i="3"/>
  <c r="U12" i="7"/>
  <c r="W12" i="10"/>
  <c r="W11" i="9"/>
  <c r="T12" i="12"/>
  <c r="T12" i="9"/>
  <c r="T11" i="13"/>
  <c r="T11" i="7"/>
  <c r="C10" i="1"/>
  <c r="C7" i="1"/>
  <c r="T12" i="3" l="1"/>
  <c r="T12" i="7"/>
  <c r="W12" i="7"/>
  <c r="U12" i="8"/>
  <c r="T11" i="10"/>
  <c r="V11" i="9"/>
  <c r="T12" i="10"/>
  <c r="T12" i="11"/>
  <c r="U12" i="4"/>
  <c r="U12" i="10"/>
  <c r="U12" i="9"/>
  <c r="V12" i="8"/>
  <c r="D10" i="8" s="1"/>
  <c r="V12" i="4"/>
  <c r="D10" i="4" s="1"/>
  <c r="V12" i="13"/>
  <c r="D10" i="13" s="1"/>
  <c r="V11" i="12"/>
  <c r="V11" i="7"/>
  <c r="V11" i="10"/>
  <c r="V12" i="9"/>
  <c r="D10" i="9" s="1"/>
  <c r="V12" i="11"/>
  <c r="D10" i="11" s="1"/>
  <c r="V12" i="3"/>
  <c r="V12" i="12"/>
  <c r="D10" i="12" s="1"/>
  <c r="V12" i="7"/>
  <c r="D10" i="7" s="1"/>
  <c r="V12" i="10"/>
  <c r="D10" i="10" s="1"/>
  <c r="U11" i="7"/>
  <c r="U11" i="8"/>
  <c r="U11" i="3"/>
  <c r="U11" i="4"/>
  <c r="U11" i="9"/>
  <c r="U11" i="10"/>
  <c r="V11" i="13"/>
  <c r="V11" i="4"/>
  <c r="V11" i="8"/>
  <c r="W11" i="7"/>
  <c r="W11" i="3"/>
  <c r="W11" i="8"/>
  <c r="T11" i="8"/>
  <c r="T11" i="12"/>
  <c r="W12" i="4"/>
  <c r="U12" i="3"/>
  <c r="W12" i="8"/>
  <c r="J10" i="8" s="1"/>
  <c r="W11" i="4"/>
  <c r="W12" i="9"/>
  <c r="T11" i="4"/>
  <c r="W11" i="10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N10" i="12"/>
  <c r="K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10" i="12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T11" i="11" l="1"/>
  <c r="T11" i="3"/>
  <c r="T11" i="9"/>
  <c r="V11" i="3"/>
  <c r="D10" i="3" s="1"/>
  <c r="V11" i="11"/>
  <c r="T12" i="13"/>
  <c r="T12" i="4"/>
  <c r="T12" i="8"/>
  <c r="S11" i="7" l="1"/>
  <c r="S11" i="3"/>
  <c r="S11" i="8"/>
  <c r="J11" i="9"/>
  <c r="J14" i="9"/>
  <c r="J18" i="9"/>
  <c r="J13" i="9"/>
  <c r="J17" i="9"/>
  <c r="J15" i="9"/>
  <c r="J19" i="9"/>
  <c r="J12" i="9"/>
  <c r="J16" i="9"/>
  <c r="J20" i="9"/>
  <c r="C10" i="8"/>
  <c r="C21" i="10"/>
  <c r="C32" i="13"/>
  <c r="F12" i="13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G11" i="13"/>
  <c r="E11" i="13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F12" i="12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G11" i="12"/>
  <c r="E11" i="12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C32" i="11"/>
  <c r="F12" i="1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G11" i="11"/>
  <c r="E11" i="1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F12" i="10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G11" i="10"/>
  <c r="N11" i="10" s="1"/>
  <c r="E11" i="10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C21" i="9"/>
  <c r="F12" i="9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G11" i="9"/>
  <c r="E11" i="9"/>
  <c r="F12" i="8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G11" i="8"/>
  <c r="G12" i="8" s="1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F12" i="7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G11" i="7"/>
  <c r="G12" i="7" s="1"/>
  <c r="E11" i="7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G12" i="12" l="1"/>
  <c r="K12" i="12" s="1"/>
  <c r="N12" i="12" s="1"/>
  <c r="K11" i="12"/>
  <c r="N11" i="12" s="1"/>
  <c r="G12" i="11"/>
  <c r="K12" i="11" s="1"/>
  <c r="N12" i="11" s="1"/>
  <c r="N11" i="11"/>
  <c r="G12" i="13"/>
  <c r="N11" i="13"/>
  <c r="C33" i="11"/>
  <c r="J15" i="3"/>
  <c r="J19" i="3"/>
  <c r="J23" i="3"/>
  <c r="J27" i="3"/>
  <c r="J31" i="3"/>
  <c r="J35" i="3"/>
  <c r="J39" i="3"/>
  <c r="J43" i="3"/>
  <c r="J12" i="3"/>
  <c r="J16" i="3"/>
  <c r="J20" i="3"/>
  <c r="J24" i="3"/>
  <c r="J28" i="3"/>
  <c r="J32" i="3"/>
  <c r="J36" i="3"/>
  <c r="J40" i="3"/>
  <c r="J11" i="3"/>
  <c r="J13" i="3"/>
  <c r="J17" i="3"/>
  <c r="J21" i="3"/>
  <c r="J25" i="3"/>
  <c r="J29" i="3"/>
  <c r="J33" i="3"/>
  <c r="J37" i="3"/>
  <c r="J41" i="3"/>
  <c r="J14" i="3"/>
  <c r="J18" i="3"/>
  <c r="J22" i="3"/>
  <c r="J26" i="3"/>
  <c r="J30" i="3"/>
  <c r="J34" i="3"/>
  <c r="J38" i="3"/>
  <c r="J42" i="3"/>
  <c r="J13" i="8"/>
  <c r="J17" i="8"/>
  <c r="J21" i="8"/>
  <c r="J25" i="8"/>
  <c r="J29" i="8"/>
  <c r="J33" i="8"/>
  <c r="J37" i="8"/>
  <c r="J41" i="8"/>
  <c r="J14" i="8"/>
  <c r="J18" i="8"/>
  <c r="J22" i="8"/>
  <c r="J26" i="8"/>
  <c r="J30" i="8"/>
  <c r="J34" i="8"/>
  <c r="J38" i="8"/>
  <c r="J42" i="8"/>
  <c r="J15" i="8"/>
  <c r="J19" i="8"/>
  <c r="J23" i="8"/>
  <c r="J27" i="8"/>
  <c r="J31" i="8"/>
  <c r="J35" i="8"/>
  <c r="J39" i="8"/>
  <c r="J43" i="8"/>
  <c r="J12" i="8"/>
  <c r="J16" i="8"/>
  <c r="J20" i="8"/>
  <c r="J24" i="8"/>
  <c r="J28" i="8"/>
  <c r="J32" i="8"/>
  <c r="J36" i="8"/>
  <c r="J40" i="8"/>
  <c r="J11" i="8"/>
  <c r="G12" i="9"/>
  <c r="N11" i="9"/>
  <c r="E12" i="9"/>
  <c r="C22" i="9"/>
  <c r="C23" i="9" s="1"/>
  <c r="C24" i="9" s="1"/>
  <c r="C25" i="9" s="1"/>
  <c r="C26" i="9" s="1"/>
  <c r="C27" i="9" s="1"/>
  <c r="C28" i="9" s="1"/>
  <c r="C11" i="7"/>
  <c r="C32" i="12"/>
  <c r="C21" i="4"/>
  <c r="C33" i="13"/>
  <c r="G13" i="12"/>
  <c r="K13" i="12" s="1"/>
  <c r="N13" i="12" s="1"/>
  <c r="G12" i="10"/>
  <c r="K12" i="10" s="1"/>
  <c r="N12" i="10" s="1"/>
  <c r="C22" i="10"/>
  <c r="C11" i="8"/>
  <c r="K11" i="8" s="1"/>
  <c r="G13" i="8"/>
  <c r="G13" i="7"/>
  <c r="G13" i="11" l="1"/>
  <c r="K13" i="11" s="1"/>
  <c r="N13" i="11" s="1"/>
  <c r="G13" i="13"/>
  <c r="K12" i="13"/>
  <c r="N12" i="13" s="1"/>
  <c r="C34" i="11"/>
  <c r="C35" i="11" s="1"/>
  <c r="C23" i="10"/>
  <c r="C33" i="12"/>
  <c r="C34" i="13"/>
  <c r="C22" i="4"/>
  <c r="G13" i="9"/>
  <c r="K12" i="9"/>
  <c r="N12" i="9" s="1"/>
  <c r="E13" i="9"/>
  <c r="G14" i="12"/>
  <c r="K14" i="12" s="1"/>
  <c r="N14" i="12" s="1"/>
  <c r="G14" i="11"/>
  <c r="K14" i="11" s="1"/>
  <c r="N14" i="11" s="1"/>
  <c r="G13" i="10"/>
  <c r="K13" i="10" s="1"/>
  <c r="N13" i="10" s="1"/>
  <c r="C29" i="9"/>
  <c r="C30" i="9" s="1"/>
  <c r="C31" i="9" s="1"/>
  <c r="C32" i="9" s="1"/>
  <c r="C12" i="8"/>
  <c r="N11" i="8"/>
  <c r="G14" i="8"/>
  <c r="G14" i="7"/>
  <c r="C12" i="7"/>
  <c r="K11" i="7"/>
  <c r="N11" i="7" s="1"/>
  <c r="C11" i="3"/>
  <c r="K13" i="13" l="1"/>
  <c r="N13" i="13" s="1"/>
  <c r="G14" i="13"/>
  <c r="C36" i="11"/>
  <c r="C34" i="12"/>
  <c r="C35" i="13"/>
  <c r="C24" i="10"/>
  <c r="K13" i="9"/>
  <c r="N13" i="9" s="1"/>
  <c r="G14" i="9"/>
  <c r="E14" i="9"/>
  <c r="G15" i="12"/>
  <c r="K15" i="12" s="1"/>
  <c r="N15" i="12" s="1"/>
  <c r="G15" i="11"/>
  <c r="K15" i="11" s="1"/>
  <c r="N15" i="11" s="1"/>
  <c r="G14" i="10"/>
  <c r="K14" i="10" s="1"/>
  <c r="N14" i="10" s="1"/>
  <c r="C33" i="9"/>
  <c r="G15" i="8"/>
  <c r="C13" i="8"/>
  <c r="K12" i="8"/>
  <c r="N12" i="8" s="1"/>
  <c r="C13" i="7"/>
  <c r="K12" i="7"/>
  <c r="N12" i="7" s="1"/>
  <c r="G15" i="7"/>
  <c r="K14" i="13" l="1"/>
  <c r="N14" i="13" s="1"/>
  <c r="G15" i="13"/>
  <c r="C25" i="10"/>
  <c r="C35" i="12"/>
  <c r="C36" i="13"/>
  <c r="C37" i="11"/>
  <c r="K14" i="9"/>
  <c r="G15" i="9"/>
  <c r="E15" i="9"/>
  <c r="G16" i="12"/>
  <c r="K16" i="12" s="1"/>
  <c r="N16" i="12" s="1"/>
  <c r="G16" i="11"/>
  <c r="K16" i="11" s="1"/>
  <c r="N16" i="11" s="1"/>
  <c r="G15" i="10"/>
  <c r="K15" i="10" s="1"/>
  <c r="N15" i="10" s="1"/>
  <c r="C34" i="9"/>
  <c r="G16" i="8"/>
  <c r="C14" i="8"/>
  <c r="K13" i="8"/>
  <c r="N13" i="8" s="1"/>
  <c r="G16" i="7"/>
  <c r="C14" i="7"/>
  <c r="K13" i="7"/>
  <c r="N13" i="7" s="1"/>
  <c r="K15" i="13" l="1"/>
  <c r="N15" i="13" s="1"/>
  <c r="G16" i="13"/>
  <c r="C38" i="11"/>
  <c r="C36" i="12"/>
  <c r="C37" i="13"/>
  <c r="C26" i="10"/>
  <c r="K15" i="9"/>
  <c r="G16" i="9"/>
  <c r="N14" i="9"/>
  <c r="E16" i="9"/>
  <c r="N15" i="9"/>
  <c r="G17" i="12"/>
  <c r="K17" i="12" s="1"/>
  <c r="N17" i="12" s="1"/>
  <c r="G17" i="11"/>
  <c r="K17" i="11" s="1"/>
  <c r="N17" i="11" s="1"/>
  <c r="G16" i="10"/>
  <c r="K16" i="10" s="1"/>
  <c r="N16" i="10" s="1"/>
  <c r="C35" i="9"/>
  <c r="G17" i="8"/>
  <c r="C15" i="8"/>
  <c r="K14" i="8"/>
  <c r="N14" i="8" s="1"/>
  <c r="G17" i="7"/>
  <c r="C15" i="7"/>
  <c r="N14" i="7"/>
  <c r="K16" i="13" l="1"/>
  <c r="N16" i="13" s="1"/>
  <c r="G17" i="13"/>
  <c r="C27" i="10"/>
  <c r="C37" i="12"/>
  <c r="C38" i="13"/>
  <c r="C39" i="11"/>
  <c r="K16" i="9"/>
  <c r="N16" i="9" s="1"/>
  <c r="G17" i="9"/>
  <c r="E17" i="9"/>
  <c r="G18" i="12"/>
  <c r="K18" i="12" s="1"/>
  <c r="N18" i="12" s="1"/>
  <c r="G18" i="11"/>
  <c r="K18" i="11" s="1"/>
  <c r="N18" i="11" s="1"/>
  <c r="G17" i="10"/>
  <c r="K17" i="10" s="1"/>
  <c r="N17" i="10" s="1"/>
  <c r="C36" i="9"/>
  <c r="C16" i="8"/>
  <c r="K15" i="8"/>
  <c r="N15" i="8" s="1"/>
  <c r="G18" i="8"/>
  <c r="G18" i="7"/>
  <c r="C16" i="7"/>
  <c r="K15" i="7"/>
  <c r="N15" i="7" s="1"/>
  <c r="F12" i="4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G11" i="4"/>
  <c r="E11" i="4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G12" i="4" l="1"/>
  <c r="N11" i="4"/>
  <c r="K17" i="13"/>
  <c r="N17" i="13" s="1"/>
  <c r="G18" i="13"/>
  <c r="C40" i="11"/>
  <c r="C38" i="12"/>
  <c r="C39" i="13"/>
  <c r="C28" i="10"/>
  <c r="K17" i="9"/>
  <c r="N17" i="9" s="1"/>
  <c r="G18" i="9"/>
  <c r="E18" i="9"/>
  <c r="E22" i="4"/>
  <c r="G19" i="12"/>
  <c r="K19" i="12" s="1"/>
  <c r="N19" i="12" s="1"/>
  <c r="G19" i="11"/>
  <c r="K19" i="11" s="1"/>
  <c r="N19" i="11" s="1"/>
  <c r="G18" i="10"/>
  <c r="K18" i="10" s="1"/>
  <c r="N18" i="10" s="1"/>
  <c r="C37" i="9"/>
  <c r="G19" i="8"/>
  <c r="C17" i="8"/>
  <c r="K16" i="8"/>
  <c r="N16" i="8" s="1"/>
  <c r="C17" i="7"/>
  <c r="K16" i="7"/>
  <c r="N16" i="7" s="1"/>
  <c r="G19" i="7"/>
  <c r="C23" i="4"/>
  <c r="K18" i="13" l="1"/>
  <c r="N18" i="13" s="1"/>
  <c r="G19" i="13"/>
  <c r="G13" i="4"/>
  <c r="K12" i="4"/>
  <c r="N12" i="4" s="1"/>
  <c r="C29" i="10"/>
  <c r="C39" i="12"/>
  <c r="C24" i="4"/>
  <c r="C40" i="13"/>
  <c r="C41" i="11"/>
  <c r="K18" i="9"/>
  <c r="N18" i="9" s="1"/>
  <c r="G19" i="9"/>
  <c r="E19" i="9"/>
  <c r="E23" i="4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G20" i="12"/>
  <c r="K20" i="12" s="1"/>
  <c r="N20" i="12" s="1"/>
  <c r="G20" i="11"/>
  <c r="K20" i="11" s="1"/>
  <c r="N20" i="11" s="1"/>
  <c r="G19" i="10"/>
  <c r="K19" i="10" s="1"/>
  <c r="N19" i="10" s="1"/>
  <c r="C38" i="9"/>
  <c r="G20" i="8"/>
  <c r="C18" i="8"/>
  <c r="K17" i="8"/>
  <c r="N17" i="8" s="1"/>
  <c r="C18" i="7"/>
  <c r="K17" i="7"/>
  <c r="N17" i="7" s="1"/>
  <c r="G20" i="7"/>
  <c r="G14" i="4" l="1"/>
  <c r="K13" i="4"/>
  <c r="N13" i="4" s="1"/>
  <c r="K19" i="13"/>
  <c r="N19" i="13" s="1"/>
  <c r="G20" i="13"/>
  <c r="C41" i="13"/>
  <c r="C40" i="12"/>
  <c r="C30" i="10"/>
  <c r="C42" i="11"/>
  <c r="C25" i="4"/>
  <c r="K19" i="9"/>
  <c r="N19" i="9" s="1"/>
  <c r="G20" i="9"/>
  <c r="E20" i="9"/>
  <c r="G21" i="12"/>
  <c r="K21" i="12" s="1"/>
  <c r="N21" i="12" s="1"/>
  <c r="G21" i="11"/>
  <c r="K21" i="11" s="1"/>
  <c r="N21" i="11" s="1"/>
  <c r="G20" i="10"/>
  <c r="K20" i="10" s="1"/>
  <c r="N20" i="10" s="1"/>
  <c r="C39" i="9"/>
  <c r="G21" i="8"/>
  <c r="C19" i="8"/>
  <c r="N18" i="8"/>
  <c r="G21" i="7"/>
  <c r="C19" i="7"/>
  <c r="K18" i="7"/>
  <c r="N18" i="7" s="1"/>
  <c r="K20" i="13" l="1"/>
  <c r="N20" i="13" s="1"/>
  <c r="G21" i="13"/>
  <c r="K14" i="4"/>
  <c r="N14" i="4" s="1"/>
  <c r="G15" i="4"/>
  <c r="C43" i="11"/>
  <c r="C41" i="12"/>
  <c r="C31" i="10"/>
  <c r="C42" i="13"/>
  <c r="C26" i="4"/>
  <c r="K20" i="9"/>
  <c r="N20" i="9" s="1"/>
  <c r="G21" i="9"/>
  <c r="E21" i="9"/>
  <c r="G22" i="12"/>
  <c r="K22" i="12" s="1"/>
  <c r="N22" i="12" s="1"/>
  <c r="G22" i="11"/>
  <c r="K22" i="11" s="1"/>
  <c r="N22" i="11" s="1"/>
  <c r="G21" i="10"/>
  <c r="N21" i="10" s="1"/>
  <c r="C40" i="9"/>
  <c r="C20" i="8"/>
  <c r="K19" i="8"/>
  <c r="N19" i="8" s="1"/>
  <c r="G22" i="8"/>
  <c r="C20" i="7"/>
  <c r="K19" i="7"/>
  <c r="N19" i="7" s="1"/>
  <c r="G22" i="7"/>
  <c r="K15" i="4" l="1"/>
  <c r="N15" i="4" s="1"/>
  <c r="G16" i="4"/>
  <c r="K21" i="13"/>
  <c r="N21" i="13" s="1"/>
  <c r="G22" i="13"/>
  <c r="C43" i="13"/>
  <c r="C42" i="12"/>
  <c r="C32" i="10"/>
  <c r="C27" i="4"/>
  <c r="N21" i="9"/>
  <c r="G22" i="9"/>
  <c r="E22" i="9"/>
  <c r="G23" i="12"/>
  <c r="K23" i="12" s="1"/>
  <c r="N23" i="12" s="1"/>
  <c r="G23" i="11"/>
  <c r="K23" i="11" s="1"/>
  <c r="N23" i="11" s="1"/>
  <c r="G22" i="10"/>
  <c r="K22" i="10" s="1"/>
  <c r="N22" i="10" s="1"/>
  <c r="C41" i="9"/>
  <c r="G23" i="8"/>
  <c r="C21" i="8"/>
  <c r="K20" i="8"/>
  <c r="N20" i="8" s="1"/>
  <c r="C21" i="7"/>
  <c r="K20" i="7"/>
  <c r="N20" i="7" s="1"/>
  <c r="G23" i="7"/>
  <c r="K22" i="13" l="1"/>
  <c r="N22" i="13" s="1"/>
  <c r="G23" i="13"/>
  <c r="K16" i="4"/>
  <c r="N16" i="4" s="1"/>
  <c r="G17" i="4"/>
  <c r="C28" i="4"/>
  <c r="C43" i="12"/>
  <c r="C33" i="10"/>
  <c r="K22" i="9"/>
  <c r="N22" i="9" s="1"/>
  <c r="G23" i="9"/>
  <c r="E23" i="9"/>
  <c r="G24" i="12"/>
  <c r="K24" i="12" s="1"/>
  <c r="N24" i="12" s="1"/>
  <c r="G24" i="11"/>
  <c r="K24" i="11" s="1"/>
  <c r="N24" i="11" s="1"/>
  <c r="G23" i="10"/>
  <c r="K23" i="10" s="1"/>
  <c r="N23" i="10" s="1"/>
  <c r="C42" i="9"/>
  <c r="C22" i="8"/>
  <c r="K21" i="8"/>
  <c r="N21" i="8" s="1"/>
  <c r="G24" i="8"/>
  <c r="C22" i="7"/>
  <c r="K21" i="7"/>
  <c r="N21" i="7" s="1"/>
  <c r="G24" i="7"/>
  <c r="K17" i="4" l="1"/>
  <c r="N17" i="4" s="1"/>
  <c r="G18" i="4"/>
  <c r="K23" i="13"/>
  <c r="N23" i="13" s="1"/>
  <c r="G24" i="13"/>
  <c r="C34" i="10"/>
  <c r="C29" i="4"/>
  <c r="K23" i="9"/>
  <c r="N23" i="9" s="1"/>
  <c r="G24" i="9"/>
  <c r="E24" i="9"/>
  <c r="G25" i="12"/>
  <c r="K25" i="12" s="1"/>
  <c r="N25" i="12" s="1"/>
  <c r="G25" i="11"/>
  <c r="K25" i="11" s="1"/>
  <c r="N25" i="11" s="1"/>
  <c r="G24" i="10"/>
  <c r="K24" i="10" s="1"/>
  <c r="N24" i="10" s="1"/>
  <c r="C43" i="9"/>
  <c r="C23" i="8"/>
  <c r="K22" i="8"/>
  <c r="N22" i="8" s="1"/>
  <c r="G25" i="8"/>
  <c r="G25" i="7"/>
  <c r="C23" i="7"/>
  <c r="K22" i="7"/>
  <c r="N22" i="7" s="1"/>
  <c r="K24" i="13" l="1"/>
  <c r="N24" i="13" s="1"/>
  <c r="G25" i="13"/>
  <c r="K18" i="4"/>
  <c r="N18" i="4" s="1"/>
  <c r="G19" i="4"/>
  <c r="C30" i="4"/>
  <c r="C35" i="10"/>
  <c r="K24" i="9"/>
  <c r="N24" i="9" s="1"/>
  <c r="G25" i="9"/>
  <c r="E25" i="9"/>
  <c r="G26" i="12"/>
  <c r="K26" i="12" s="1"/>
  <c r="N26" i="12" s="1"/>
  <c r="G26" i="11"/>
  <c r="K26" i="11" s="1"/>
  <c r="N26" i="11" s="1"/>
  <c r="G25" i="10"/>
  <c r="K25" i="10" s="1"/>
  <c r="N25" i="10" s="1"/>
  <c r="C24" i="8"/>
  <c r="K23" i="8"/>
  <c r="N23" i="8" s="1"/>
  <c r="G26" i="8"/>
  <c r="G26" i="7"/>
  <c r="C24" i="7"/>
  <c r="K23" i="7"/>
  <c r="N23" i="7" s="1"/>
  <c r="K19" i="4" l="1"/>
  <c r="N19" i="4" s="1"/>
  <c r="G20" i="4"/>
  <c r="K25" i="13"/>
  <c r="N25" i="13" s="1"/>
  <c r="G26" i="13"/>
  <c r="C36" i="10"/>
  <c r="C31" i="4"/>
  <c r="K25" i="9"/>
  <c r="G26" i="9"/>
  <c r="E26" i="9"/>
  <c r="G27" i="12"/>
  <c r="K27" i="12" s="1"/>
  <c r="N27" i="12" s="1"/>
  <c r="G27" i="11"/>
  <c r="K27" i="11" s="1"/>
  <c r="N27" i="11" s="1"/>
  <c r="G26" i="10"/>
  <c r="K26" i="10" s="1"/>
  <c r="N26" i="10" s="1"/>
  <c r="C25" i="8"/>
  <c r="K24" i="8"/>
  <c r="N24" i="8" s="1"/>
  <c r="G27" i="8"/>
  <c r="C25" i="7"/>
  <c r="K24" i="7"/>
  <c r="N24" i="7" s="1"/>
  <c r="G27" i="7"/>
  <c r="K26" i="13" l="1"/>
  <c r="N26" i="13" s="1"/>
  <c r="G27" i="13"/>
  <c r="K20" i="4"/>
  <c r="N20" i="4" s="1"/>
  <c r="G21" i="4"/>
  <c r="C37" i="10"/>
  <c r="K26" i="9"/>
  <c r="N26" i="9" s="1"/>
  <c r="G27" i="9"/>
  <c r="E27" i="9"/>
  <c r="G28" i="12"/>
  <c r="K28" i="12" s="1"/>
  <c r="N28" i="12" s="1"/>
  <c r="G28" i="11"/>
  <c r="K28" i="11" s="1"/>
  <c r="N28" i="11" s="1"/>
  <c r="G27" i="10"/>
  <c r="K27" i="10" s="1"/>
  <c r="G28" i="8"/>
  <c r="C26" i="8"/>
  <c r="K25" i="8"/>
  <c r="N25" i="8" s="1"/>
  <c r="G28" i="7"/>
  <c r="C26" i="7"/>
  <c r="N25" i="7"/>
  <c r="K27" i="13" l="1"/>
  <c r="N27" i="13" s="1"/>
  <c r="G28" i="13"/>
  <c r="K21" i="4"/>
  <c r="N21" i="4" s="1"/>
  <c r="G22" i="4"/>
  <c r="C38" i="10"/>
  <c r="K27" i="9"/>
  <c r="N27" i="9" s="1"/>
  <c r="G28" i="9"/>
  <c r="E28" i="9"/>
  <c r="G29" i="12"/>
  <c r="K29" i="12" s="1"/>
  <c r="N29" i="12" s="1"/>
  <c r="G29" i="11"/>
  <c r="K29" i="11" s="1"/>
  <c r="N29" i="11" s="1"/>
  <c r="G28" i="10"/>
  <c r="K28" i="10" s="1"/>
  <c r="N28" i="10" s="1"/>
  <c r="C27" i="8"/>
  <c r="K26" i="8"/>
  <c r="N26" i="8" s="1"/>
  <c r="G29" i="8"/>
  <c r="C27" i="7"/>
  <c r="K26" i="7"/>
  <c r="N26" i="7" s="1"/>
  <c r="G29" i="7"/>
  <c r="K22" i="4" l="1"/>
  <c r="N22" i="4" s="1"/>
  <c r="G23" i="4"/>
  <c r="K28" i="13"/>
  <c r="N28" i="13" s="1"/>
  <c r="G29" i="13"/>
  <c r="C39" i="10"/>
  <c r="K28" i="9"/>
  <c r="N28" i="9" s="1"/>
  <c r="G29" i="9"/>
  <c r="E29" i="9"/>
  <c r="G30" i="12"/>
  <c r="K30" i="12" s="1"/>
  <c r="N30" i="12" s="1"/>
  <c r="G30" i="11"/>
  <c r="K30" i="11" s="1"/>
  <c r="N30" i="11" s="1"/>
  <c r="G29" i="10"/>
  <c r="K29" i="10" s="1"/>
  <c r="N29" i="10" s="1"/>
  <c r="C28" i="8"/>
  <c r="K27" i="8"/>
  <c r="N27" i="8" s="1"/>
  <c r="G30" i="8"/>
  <c r="C28" i="7"/>
  <c r="K27" i="7"/>
  <c r="N27" i="7" s="1"/>
  <c r="G30" i="7"/>
  <c r="K29" i="13" l="1"/>
  <c r="N29" i="13" s="1"/>
  <c r="G30" i="13"/>
  <c r="K23" i="4"/>
  <c r="N23" i="4" s="1"/>
  <c r="G24" i="4"/>
  <c r="C40" i="10"/>
  <c r="K29" i="9"/>
  <c r="N29" i="9" s="1"/>
  <c r="G30" i="9"/>
  <c r="E30" i="9"/>
  <c r="G31" i="12"/>
  <c r="K31" i="12" s="1"/>
  <c r="N31" i="12" s="1"/>
  <c r="G31" i="11"/>
  <c r="K31" i="11" s="1"/>
  <c r="N31" i="11" s="1"/>
  <c r="G30" i="10"/>
  <c r="K30" i="10" s="1"/>
  <c r="N30" i="10" s="1"/>
  <c r="C29" i="8"/>
  <c r="K28" i="8"/>
  <c r="N28" i="8" s="1"/>
  <c r="G31" i="8"/>
  <c r="C29" i="7"/>
  <c r="K28" i="7"/>
  <c r="N28" i="7" s="1"/>
  <c r="G31" i="7"/>
  <c r="K24" i="4" l="1"/>
  <c r="N24" i="4" s="1"/>
  <c r="G25" i="4"/>
  <c r="K30" i="13"/>
  <c r="N30" i="13" s="1"/>
  <c r="G31" i="13"/>
  <c r="C41" i="10"/>
  <c r="K30" i="9"/>
  <c r="N30" i="9" s="1"/>
  <c r="G31" i="9"/>
  <c r="E31" i="9"/>
  <c r="G32" i="12"/>
  <c r="N32" i="12" s="1"/>
  <c r="G32" i="11"/>
  <c r="N32" i="11" s="1"/>
  <c r="G31" i="10"/>
  <c r="K31" i="10" s="1"/>
  <c r="N31" i="10" s="1"/>
  <c r="C30" i="8"/>
  <c r="K29" i="8"/>
  <c r="N29" i="8" s="1"/>
  <c r="G32" i="8"/>
  <c r="G32" i="7"/>
  <c r="C30" i="7"/>
  <c r="K29" i="7"/>
  <c r="N29" i="7" s="1"/>
  <c r="K31" i="13" l="1"/>
  <c r="N31" i="13" s="1"/>
  <c r="G32" i="13"/>
  <c r="N25" i="4"/>
  <c r="G26" i="4"/>
  <c r="C42" i="10"/>
  <c r="K31" i="9"/>
  <c r="N31" i="9" s="1"/>
  <c r="G32" i="9"/>
  <c r="E32" i="9"/>
  <c r="G33" i="12"/>
  <c r="K33" i="12" s="1"/>
  <c r="N33" i="12" s="1"/>
  <c r="G33" i="11"/>
  <c r="K33" i="11" s="1"/>
  <c r="N33" i="11" s="1"/>
  <c r="G32" i="10"/>
  <c r="K32" i="10" s="1"/>
  <c r="N32" i="10" s="1"/>
  <c r="G33" i="8"/>
  <c r="C31" i="8"/>
  <c r="K30" i="8"/>
  <c r="N30" i="8" s="1"/>
  <c r="G33" i="7"/>
  <c r="C31" i="7"/>
  <c r="K30" i="7"/>
  <c r="N30" i="7" s="1"/>
  <c r="K26" i="4" l="1"/>
  <c r="N26" i="4" s="1"/>
  <c r="G27" i="4"/>
  <c r="K32" i="13"/>
  <c r="N32" i="13" s="1"/>
  <c r="G33" i="13"/>
  <c r="C43" i="10"/>
  <c r="K32" i="9"/>
  <c r="N32" i="9" s="1"/>
  <c r="G33" i="9"/>
  <c r="E33" i="9"/>
  <c r="G34" i="12"/>
  <c r="K34" i="12" s="1"/>
  <c r="G34" i="11"/>
  <c r="K34" i="11" s="1"/>
  <c r="N34" i="11" s="1"/>
  <c r="G33" i="10"/>
  <c r="K33" i="10" s="1"/>
  <c r="C32" i="8"/>
  <c r="K31" i="8"/>
  <c r="N31" i="8" s="1"/>
  <c r="G34" i="8"/>
  <c r="C32" i="7"/>
  <c r="K31" i="7"/>
  <c r="N31" i="7" s="1"/>
  <c r="G34" i="7"/>
  <c r="K33" i="13" l="1"/>
  <c r="N33" i="13" s="1"/>
  <c r="G34" i="13"/>
  <c r="K27" i="4"/>
  <c r="N27" i="4" s="1"/>
  <c r="G28" i="4"/>
  <c r="K33" i="9"/>
  <c r="N33" i="9" s="1"/>
  <c r="G34" i="9"/>
  <c r="E34" i="9"/>
  <c r="G35" i="12"/>
  <c r="K35" i="12" s="1"/>
  <c r="N35" i="12" s="1"/>
  <c r="G35" i="11"/>
  <c r="K35" i="11" s="1"/>
  <c r="N35" i="11" s="1"/>
  <c r="G34" i="10"/>
  <c r="K34" i="10" s="1"/>
  <c r="N33" i="10"/>
  <c r="G35" i="8"/>
  <c r="C33" i="8"/>
  <c r="K32" i="8"/>
  <c r="N32" i="8" s="1"/>
  <c r="C33" i="7"/>
  <c r="K32" i="7"/>
  <c r="N32" i="7" s="1"/>
  <c r="G35" i="7"/>
  <c r="K28" i="4" l="1"/>
  <c r="N28" i="4" s="1"/>
  <c r="G29" i="4"/>
  <c r="K34" i="13"/>
  <c r="N34" i="13" s="1"/>
  <c r="G35" i="13"/>
  <c r="K34" i="9"/>
  <c r="N34" i="9" s="1"/>
  <c r="G35" i="9"/>
  <c r="E35" i="9"/>
  <c r="G36" i="12"/>
  <c r="K36" i="12" s="1"/>
  <c r="N36" i="12" s="1"/>
  <c r="G36" i="11"/>
  <c r="K36" i="11" s="1"/>
  <c r="N36" i="11" s="1"/>
  <c r="G35" i="10"/>
  <c r="K35" i="10" s="1"/>
  <c r="N34" i="10"/>
  <c r="G36" i="8"/>
  <c r="C34" i="8"/>
  <c r="K33" i="8"/>
  <c r="C34" i="7"/>
  <c r="K33" i="7"/>
  <c r="N33" i="7" s="1"/>
  <c r="G36" i="7"/>
  <c r="K35" i="13" l="1"/>
  <c r="N35" i="13" s="1"/>
  <c r="G36" i="13"/>
  <c r="K29" i="4"/>
  <c r="N29" i="4" s="1"/>
  <c r="G30" i="4"/>
  <c r="K35" i="9"/>
  <c r="N35" i="9" s="1"/>
  <c r="G36" i="9"/>
  <c r="E36" i="9"/>
  <c r="G37" i="12"/>
  <c r="K37" i="12" s="1"/>
  <c r="N37" i="12" s="1"/>
  <c r="G37" i="11"/>
  <c r="K37" i="11" s="1"/>
  <c r="N37" i="11" s="1"/>
  <c r="G36" i="10"/>
  <c r="K36" i="10" s="1"/>
  <c r="N35" i="10"/>
  <c r="G37" i="8"/>
  <c r="C35" i="8"/>
  <c r="K34" i="8"/>
  <c r="N34" i="8" s="1"/>
  <c r="G37" i="7"/>
  <c r="C35" i="7"/>
  <c r="K34" i="7"/>
  <c r="N34" i="7" s="1"/>
  <c r="K30" i="4" l="1"/>
  <c r="G31" i="4"/>
  <c r="K36" i="13"/>
  <c r="N36" i="13" s="1"/>
  <c r="G37" i="13"/>
  <c r="K36" i="9"/>
  <c r="N36" i="9" s="1"/>
  <c r="G37" i="9"/>
  <c r="E37" i="9"/>
  <c r="G38" i="12"/>
  <c r="K38" i="12" s="1"/>
  <c r="N38" i="12" s="1"/>
  <c r="G38" i="11"/>
  <c r="K38" i="11" s="1"/>
  <c r="N38" i="11" s="1"/>
  <c r="G37" i="10"/>
  <c r="K37" i="10" s="1"/>
  <c r="N36" i="10"/>
  <c r="C36" i="8"/>
  <c r="K35" i="8"/>
  <c r="N35" i="8" s="1"/>
  <c r="G38" i="8"/>
  <c r="C36" i="7"/>
  <c r="K35" i="7"/>
  <c r="G38" i="7"/>
  <c r="K37" i="13" l="1"/>
  <c r="N37" i="13" s="1"/>
  <c r="G38" i="13"/>
  <c r="K31" i="4"/>
  <c r="N31" i="4" s="1"/>
  <c r="G32" i="4"/>
  <c r="G33" i="4" s="1"/>
  <c r="G34" i="4" s="1"/>
  <c r="K37" i="9"/>
  <c r="N37" i="9" s="1"/>
  <c r="G38" i="9"/>
  <c r="E38" i="9"/>
  <c r="G39" i="12"/>
  <c r="K39" i="12" s="1"/>
  <c r="N39" i="12" s="1"/>
  <c r="G39" i="11"/>
  <c r="K39" i="11" s="1"/>
  <c r="N39" i="11" s="1"/>
  <c r="G38" i="10"/>
  <c r="K38" i="10" s="1"/>
  <c r="N37" i="10"/>
  <c r="C37" i="8"/>
  <c r="K36" i="8"/>
  <c r="N36" i="8" s="1"/>
  <c r="G39" i="8"/>
  <c r="N35" i="7"/>
  <c r="C37" i="7"/>
  <c r="K36" i="7"/>
  <c r="N36" i="7" s="1"/>
  <c r="G39" i="7"/>
  <c r="C32" i="4"/>
  <c r="K32" i="4" s="1"/>
  <c r="N32" i="4" s="1"/>
  <c r="G35" i="4"/>
  <c r="K38" i="13" l="1"/>
  <c r="N38" i="13" s="1"/>
  <c r="G39" i="13"/>
  <c r="K38" i="9"/>
  <c r="N38" i="9" s="1"/>
  <c r="G39" i="9"/>
  <c r="E39" i="9"/>
  <c r="G40" i="12"/>
  <c r="K40" i="12" s="1"/>
  <c r="N40" i="12" s="1"/>
  <c r="G40" i="11"/>
  <c r="K40" i="11" s="1"/>
  <c r="N40" i="11" s="1"/>
  <c r="G39" i="10"/>
  <c r="K39" i="10" s="1"/>
  <c r="N38" i="10"/>
  <c r="C38" i="8"/>
  <c r="N37" i="8"/>
  <c r="G40" i="8"/>
  <c r="C38" i="7"/>
  <c r="K37" i="7"/>
  <c r="N37" i="7" s="1"/>
  <c r="G40" i="7"/>
  <c r="C33" i="4"/>
  <c r="K33" i="4" s="1"/>
  <c r="N33" i="4" s="1"/>
  <c r="G36" i="4"/>
  <c r="K39" i="13" l="1"/>
  <c r="N39" i="13" s="1"/>
  <c r="G40" i="13"/>
  <c r="K39" i="9"/>
  <c r="N39" i="9" s="1"/>
  <c r="G40" i="9"/>
  <c r="E40" i="9"/>
  <c r="G41" i="12"/>
  <c r="N41" i="12" s="1"/>
  <c r="G41" i="11"/>
  <c r="K41" i="11" s="1"/>
  <c r="N41" i="11" s="1"/>
  <c r="G40" i="10"/>
  <c r="K40" i="10" s="1"/>
  <c r="N40" i="10" s="1"/>
  <c r="N39" i="10"/>
  <c r="C39" i="8"/>
  <c r="K38" i="8"/>
  <c r="N38" i="8" s="1"/>
  <c r="G41" i="8"/>
  <c r="C39" i="7"/>
  <c r="K38" i="7"/>
  <c r="N38" i="7" s="1"/>
  <c r="G41" i="7"/>
  <c r="C34" i="4"/>
  <c r="N34" i="4" s="1"/>
  <c r="G37" i="4"/>
  <c r="K40" i="13" l="1"/>
  <c r="N40" i="13" s="1"/>
  <c r="G41" i="13"/>
  <c r="K40" i="9"/>
  <c r="G41" i="9"/>
  <c r="E41" i="9"/>
  <c r="G42" i="12"/>
  <c r="K42" i="12" s="1"/>
  <c r="G42" i="11"/>
  <c r="K42" i="11" s="1"/>
  <c r="G41" i="10"/>
  <c r="N41" i="10" s="1"/>
  <c r="G42" i="8"/>
  <c r="C40" i="8"/>
  <c r="K39" i="8"/>
  <c r="N39" i="8" s="1"/>
  <c r="C40" i="7"/>
  <c r="K39" i="7"/>
  <c r="N39" i="7" s="1"/>
  <c r="G42" i="7"/>
  <c r="G38" i="4"/>
  <c r="C35" i="4"/>
  <c r="K35" i="4" s="1"/>
  <c r="N35" i="4" s="1"/>
  <c r="K41" i="13" l="1"/>
  <c r="N41" i="13" s="1"/>
  <c r="G42" i="13"/>
  <c r="K41" i="9"/>
  <c r="N41" i="9" s="1"/>
  <c r="G42" i="9"/>
  <c r="E42" i="9"/>
  <c r="G43" i="12"/>
  <c r="K43" i="12" s="1"/>
  <c r="N43" i="12" s="1"/>
  <c r="G43" i="11"/>
  <c r="K43" i="11" s="1"/>
  <c r="N43" i="11" s="1"/>
  <c r="G42" i="10"/>
  <c r="K42" i="10" s="1"/>
  <c r="C41" i="8"/>
  <c r="K40" i="8"/>
  <c r="N40" i="8" s="1"/>
  <c r="G43" i="8"/>
  <c r="C41" i="7"/>
  <c r="K40" i="7"/>
  <c r="N40" i="7" s="1"/>
  <c r="G43" i="7"/>
  <c r="G39" i="4"/>
  <c r="C36" i="4"/>
  <c r="K36" i="4" s="1"/>
  <c r="N36" i="4" s="1"/>
  <c r="N42" i="13" l="1"/>
  <c r="G43" i="13"/>
  <c r="K43" i="13" s="1"/>
  <c r="K42" i="9"/>
  <c r="N42" i="9" s="1"/>
  <c r="G43" i="9"/>
  <c r="E43" i="9"/>
  <c r="G43" i="10"/>
  <c r="K43" i="10" s="1"/>
  <c r="N43" i="10" s="1"/>
  <c r="C42" i="8"/>
  <c r="K41" i="8"/>
  <c r="N41" i="8" s="1"/>
  <c r="C42" i="7"/>
  <c r="K41" i="7"/>
  <c r="N41" i="7" s="1"/>
  <c r="G40" i="4"/>
  <c r="C37" i="4"/>
  <c r="K37" i="4" s="1"/>
  <c r="N37" i="4" s="1"/>
  <c r="K43" i="9" l="1"/>
  <c r="N43" i="9" s="1"/>
  <c r="C43" i="8"/>
  <c r="K42" i="8"/>
  <c r="N42" i="8" s="1"/>
  <c r="C43" i="7"/>
  <c r="K42" i="7"/>
  <c r="G41" i="4"/>
  <c r="C38" i="4"/>
  <c r="K38" i="4" s="1"/>
  <c r="N38" i="4" s="1"/>
  <c r="K43" i="8" l="1"/>
  <c r="K43" i="7"/>
  <c r="N43" i="7" s="1"/>
  <c r="G42" i="4"/>
  <c r="C39" i="4"/>
  <c r="K39" i="4" s="1"/>
  <c r="N39" i="4" s="1"/>
  <c r="G43" i="4" l="1"/>
  <c r="C40" i="4"/>
  <c r="K40" i="4" s="1"/>
  <c r="N40" i="4" s="1"/>
  <c r="C41" i="4" l="1"/>
  <c r="K41" i="4" s="1"/>
  <c r="N41" i="4" s="1"/>
  <c r="C42" i="4" l="1"/>
  <c r="K42" i="4" s="1"/>
  <c r="N42" i="4" s="1"/>
  <c r="C43" i="4" l="1"/>
  <c r="K43" i="4" s="1"/>
  <c r="C12" i="3" l="1"/>
  <c r="C13" i="3" s="1"/>
  <c r="C14" i="3" s="1"/>
  <c r="C15" i="3" s="1"/>
  <c r="C16" i="3" s="1"/>
  <c r="C17" i="3" s="1"/>
  <c r="C18" i="3" s="1"/>
  <c r="C19" i="3" s="1"/>
  <c r="C20" i="3" s="1"/>
  <c r="C21" i="3" l="1"/>
  <c r="E11" i="3" l="1"/>
  <c r="F12" i="3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G11" i="3"/>
  <c r="G12" i="3" l="1"/>
  <c r="G13" i="3" s="1"/>
  <c r="K11" i="3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C22" i="3"/>
  <c r="K12" i="3"/>
  <c r="G14" i="3"/>
  <c r="J18" i="1"/>
  <c r="J19" i="1" s="1"/>
  <c r="N11" i="3" l="1"/>
  <c r="N12" i="3"/>
  <c r="C23" i="3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K13" i="3"/>
  <c r="K14" i="3"/>
  <c r="G15" i="3"/>
  <c r="E7" i="1"/>
  <c r="E11" i="1"/>
  <c r="E10" i="1"/>
  <c r="S12" i="3" s="1"/>
  <c r="E9" i="1"/>
  <c r="E8" i="1"/>
  <c r="C6" i="1"/>
  <c r="C8" i="1"/>
  <c r="C9" i="1"/>
  <c r="C11" i="1"/>
  <c r="B16" i="1"/>
  <c r="R11" i="3" l="1"/>
  <c r="S11" i="4"/>
  <c r="S11" i="10"/>
  <c r="S11" i="9"/>
  <c r="J23" i="9" s="1"/>
  <c r="J24" i="9" s="1"/>
  <c r="J25" i="9" s="1"/>
  <c r="J26" i="9" s="1"/>
  <c r="J27" i="9" s="1"/>
  <c r="J28" i="9" s="1"/>
  <c r="J29" i="9" s="1"/>
  <c r="J30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S12" i="10"/>
  <c r="S12" i="4"/>
  <c r="S12" i="9"/>
  <c r="R12" i="3"/>
  <c r="R11" i="11"/>
  <c r="R11" i="9"/>
  <c r="S12" i="8"/>
  <c r="S12" i="7"/>
  <c r="N14" i="3"/>
  <c r="N13" i="3"/>
  <c r="G16" i="3"/>
  <c r="K15" i="3"/>
  <c r="D42" i="1"/>
  <c r="D43" i="1"/>
  <c r="D44" i="1"/>
  <c r="D49" i="1"/>
  <c r="E43" i="1"/>
  <c r="E44" i="1"/>
  <c r="F44" i="1"/>
  <c r="D45" i="1"/>
  <c r="E45" i="1"/>
  <c r="D47" i="1"/>
  <c r="E47" i="1"/>
  <c r="F47" i="1"/>
  <c r="D48" i="1"/>
  <c r="E48" i="1"/>
  <c r="F48" i="1"/>
  <c r="E49" i="1"/>
  <c r="F49" i="1"/>
  <c r="E42" i="1"/>
  <c r="F42" i="1"/>
  <c r="F43" i="1" l="1"/>
  <c r="F45" i="1"/>
  <c r="R12" i="11"/>
  <c r="R12" i="9"/>
  <c r="R12" i="4"/>
  <c r="R12" i="13"/>
  <c r="R12" i="8"/>
  <c r="J11" i="10"/>
  <c r="J12" i="10" s="1"/>
  <c r="J13" i="10" s="1"/>
  <c r="J14" i="10" s="1"/>
  <c r="J15" i="10" s="1"/>
  <c r="J16" i="10" s="1"/>
  <c r="J17" i="10" s="1"/>
  <c r="J18" i="10" s="1"/>
  <c r="J19" i="10" s="1"/>
  <c r="J20" i="10" s="1"/>
  <c r="J23" i="10"/>
  <c r="J24" i="10" s="1"/>
  <c r="J25" i="10" s="1"/>
  <c r="J26" i="10" s="1"/>
  <c r="J27" i="10" s="1"/>
  <c r="J28" i="10" s="1"/>
  <c r="J29" i="10" s="1"/>
  <c r="J30" i="10" s="1"/>
  <c r="J31" i="10" s="1"/>
  <c r="J32" i="10" s="1"/>
  <c r="J34" i="10" s="1"/>
  <c r="J35" i="10" s="1"/>
  <c r="J36" i="10" s="1"/>
  <c r="J37" i="10" s="1"/>
  <c r="J38" i="10" s="1"/>
  <c r="J39" i="10" s="1"/>
  <c r="J41" i="10" s="1"/>
  <c r="J42" i="10" s="1"/>
  <c r="J43" i="10" s="1"/>
  <c r="J13" i="7"/>
  <c r="J17" i="7"/>
  <c r="J21" i="7"/>
  <c r="J25" i="7"/>
  <c r="J29" i="7"/>
  <c r="J33" i="7"/>
  <c r="J37" i="7"/>
  <c r="J41" i="7"/>
  <c r="J14" i="7"/>
  <c r="J18" i="7"/>
  <c r="J22" i="7"/>
  <c r="J26" i="7"/>
  <c r="J30" i="7"/>
  <c r="J34" i="7"/>
  <c r="J38" i="7"/>
  <c r="J42" i="7"/>
  <c r="J15" i="7"/>
  <c r="J19" i="7"/>
  <c r="J23" i="7"/>
  <c r="J27" i="7"/>
  <c r="J31" i="7"/>
  <c r="J35" i="7"/>
  <c r="J39" i="7"/>
  <c r="J43" i="7"/>
  <c r="J12" i="7"/>
  <c r="J16" i="7"/>
  <c r="J20" i="7"/>
  <c r="J24" i="7"/>
  <c r="J28" i="7"/>
  <c r="J32" i="7"/>
  <c r="J36" i="7"/>
  <c r="J40" i="7"/>
  <c r="J11" i="7"/>
  <c r="D21" i="3"/>
  <c r="D11" i="3"/>
  <c r="D20" i="3"/>
  <c r="R12" i="10"/>
  <c r="R12" i="12"/>
  <c r="R12" i="7"/>
  <c r="R11" i="4"/>
  <c r="R11" i="13"/>
  <c r="R11" i="8"/>
  <c r="J11" i="4"/>
  <c r="J12" i="4" s="1"/>
  <c r="J13" i="4" s="1"/>
  <c r="J14" i="4" s="1"/>
  <c r="J15" i="4" s="1"/>
  <c r="J16" i="4" s="1"/>
  <c r="J17" i="4" s="1"/>
  <c r="J18" i="4" s="1"/>
  <c r="J19" i="4" s="1"/>
  <c r="J22" i="4"/>
  <c r="J23" i="4" s="1"/>
  <c r="J24" i="4" s="1"/>
  <c r="J25" i="4" s="1"/>
  <c r="J26" i="4" s="1"/>
  <c r="J27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D25" i="13"/>
  <c r="I25" i="13" s="1"/>
  <c r="D37" i="13"/>
  <c r="I37" i="13" s="1"/>
  <c r="D20" i="13"/>
  <c r="I20" i="13" s="1"/>
  <c r="D42" i="12"/>
  <c r="I42" i="12" s="1"/>
  <c r="D11" i="12"/>
  <c r="I11" i="12" s="1"/>
  <c r="D28" i="10"/>
  <c r="I28" i="10" s="1"/>
  <c r="D38" i="10"/>
  <c r="I38" i="10" s="1"/>
  <c r="D33" i="10"/>
  <c r="I33" i="10" s="1"/>
  <c r="D39" i="10"/>
  <c r="I39" i="10" s="1"/>
  <c r="D21" i="7"/>
  <c r="D13" i="7"/>
  <c r="I13" i="7" s="1"/>
  <c r="O13" i="7" s="1"/>
  <c r="D12" i="7"/>
  <c r="D15" i="7"/>
  <c r="I15" i="7" s="1"/>
  <c r="D23" i="7"/>
  <c r="I23" i="7" s="1"/>
  <c r="D34" i="12"/>
  <c r="I34" i="12" s="1"/>
  <c r="D17" i="12"/>
  <c r="I17" i="12" s="1"/>
  <c r="D40" i="7"/>
  <c r="I40" i="7" s="1"/>
  <c r="D19" i="7"/>
  <c r="D19" i="12"/>
  <c r="I19" i="12" s="1"/>
  <c r="D33" i="12"/>
  <c r="I33" i="12" s="1"/>
  <c r="D11" i="10"/>
  <c r="I11" i="10" s="1"/>
  <c r="D16" i="10"/>
  <c r="I16" i="10" s="1"/>
  <c r="D14" i="10"/>
  <c r="I14" i="10" s="1"/>
  <c r="D12" i="10"/>
  <c r="I12" i="10" s="1"/>
  <c r="D34" i="10"/>
  <c r="I34" i="10" s="1"/>
  <c r="D29" i="10"/>
  <c r="I29" i="10" s="1"/>
  <c r="D13" i="10"/>
  <c r="I13" i="10" s="1"/>
  <c r="D37" i="10"/>
  <c r="I37" i="10" s="1"/>
  <c r="D27" i="10"/>
  <c r="I27" i="10" s="1"/>
  <c r="D41" i="10"/>
  <c r="I41" i="10" s="1"/>
  <c r="D17" i="10"/>
  <c r="I17" i="10" s="1"/>
  <c r="D21" i="10"/>
  <c r="I21" i="10" s="1"/>
  <c r="D30" i="7"/>
  <c r="I30" i="7" s="1"/>
  <c r="D28" i="7"/>
  <c r="I28" i="7" s="1"/>
  <c r="D26" i="7"/>
  <c r="I26" i="7" s="1"/>
  <c r="D24" i="7"/>
  <c r="I24" i="7" s="1"/>
  <c r="D38" i="7"/>
  <c r="I38" i="7" s="1"/>
  <c r="D36" i="7"/>
  <c r="I36" i="7" s="1"/>
  <c r="D34" i="7"/>
  <c r="I34" i="7" s="1"/>
  <c r="D32" i="7"/>
  <c r="I32" i="7" s="1"/>
  <c r="D14" i="7"/>
  <c r="I14" i="7" s="1"/>
  <c r="D43" i="7"/>
  <c r="I43" i="7" s="1"/>
  <c r="D41" i="7"/>
  <c r="I41" i="7" s="1"/>
  <c r="D22" i="7"/>
  <c r="D20" i="7"/>
  <c r="I20" i="7" s="1"/>
  <c r="D18" i="7"/>
  <c r="D16" i="7"/>
  <c r="I16" i="7" s="1"/>
  <c r="D42" i="7"/>
  <c r="I42" i="7" s="1"/>
  <c r="D31" i="7"/>
  <c r="I31" i="7" s="1"/>
  <c r="D29" i="7"/>
  <c r="I29" i="7" s="1"/>
  <c r="D27" i="7"/>
  <c r="I27" i="7" s="1"/>
  <c r="D25" i="7"/>
  <c r="I25" i="7" s="1"/>
  <c r="D39" i="7"/>
  <c r="I39" i="7" s="1"/>
  <c r="D37" i="7"/>
  <c r="I37" i="7" s="1"/>
  <c r="D35" i="7"/>
  <c r="I35" i="7" s="1"/>
  <c r="D24" i="12"/>
  <c r="I24" i="12" s="1"/>
  <c r="D37" i="12"/>
  <c r="I37" i="12" s="1"/>
  <c r="D39" i="9"/>
  <c r="D27" i="9"/>
  <c r="D38" i="9"/>
  <c r="D21" i="9"/>
  <c r="D36" i="9"/>
  <c r="D24" i="9"/>
  <c r="D26" i="9"/>
  <c r="D11" i="9"/>
  <c r="I11" i="9" s="1"/>
  <c r="D31" i="9"/>
  <c r="D33" i="9"/>
  <c r="D25" i="9"/>
  <c r="D22" i="9"/>
  <c r="D14" i="9"/>
  <c r="D32" i="9"/>
  <c r="D15" i="9"/>
  <c r="D34" i="9"/>
  <c r="D42" i="9"/>
  <c r="I42" i="9" s="1"/>
  <c r="N15" i="3"/>
  <c r="K16" i="3"/>
  <c r="N16" i="3" s="1"/>
  <c r="G17" i="3"/>
  <c r="L30" i="7" l="1"/>
  <c r="L15" i="7"/>
  <c r="O31" i="7"/>
  <c r="O14" i="7"/>
  <c r="L28" i="7"/>
  <c r="L12" i="7"/>
  <c r="L27" i="7"/>
  <c r="L41" i="7"/>
  <c r="L19" i="7"/>
  <c r="L34" i="7"/>
  <c r="L26" i="7"/>
  <c r="L39" i="7"/>
  <c r="L20" i="7"/>
  <c r="O43" i="7"/>
  <c r="O25" i="7"/>
  <c r="L40" i="7"/>
  <c r="O40" i="7"/>
  <c r="L10" i="9"/>
  <c r="L10" i="8"/>
  <c r="D18" i="12"/>
  <c r="I18" i="12" s="1"/>
  <c r="D43" i="12"/>
  <c r="I43" i="12" s="1"/>
  <c r="D15" i="12"/>
  <c r="I15" i="12" s="1"/>
  <c r="D32" i="12"/>
  <c r="D36" i="12"/>
  <c r="I36" i="12" s="1"/>
  <c r="D12" i="12"/>
  <c r="I12" i="12" s="1"/>
  <c r="D14" i="12"/>
  <c r="I14" i="12" s="1"/>
  <c r="O14" i="12" s="1"/>
  <c r="D22" i="12"/>
  <c r="I22" i="12" s="1"/>
  <c r="L22" i="12" s="1"/>
  <c r="L22" i="7"/>
  <c r="O36" i="7"/>
  <c r="D30" i="12"/>
  <c r="I30" i="12" s="1"/>
  <c r="O30" i="12" s="1"/>
  <c r="D21" i="12"/>
  <c r="I21" i="12" s="1"/>
  <c r="L21" i="12" s="1"/>
  <c r="D27" i="12"/>
  <c r="I27" i="12" s="1"/>
  <c r="O27" i="12" s="1"/>
  <c r="D40" i="12"/>
  <c r="L40" i="12" s="1"/>
  <c r="D16" i="12"/>
  <c r="I16" i="12" s="1"/>
  <c r="O16" i="12" s="1"/>
  <c r="D18" i="10"/>
  <c r="I18" i="10" s="1"/>
  <c r="D36" i="10"/>
  <c r="I36" i="10" s="1"/>
  <c r="R11" i="12"/>
  <c r="R11" i="10"/>
  <c r="R11" i="7"/>
  <c r="D41" i="9"/>
  <c r="I41" i="9" s="1"/>
  <c r="L41" i="9" s="1"/>
  <c r="D20" i="9"/>
  <c r="I20" i="9" s="1"/>
  <c r="L20" i="9" s="1"/>
  <c r="D29" i="9"/>
  <c r="I29" i="9" s="1"/>
  <c r="O29" i="9" s="1"/>
  <c r="D35" i="9"/>
  <c r="I35" i="9" s="1"/>
  <c r="L35" i="9" s="1"/>
  <c r="D13" i="9"/>
  <c r="D40" i="9"/>
  <c r="I40" i="9" s="1"/>
  <c r="L40" i="9" s="1"/>
  <c r="D19" i="9"/>
  <c r="I19" i="9" s="1"/>
  <c r="L19" i="9" s="1"/>
  <c r="D43" i="9"/>
  <c r="D38" i="12"/>
  <c r="I38" i="12" s="1"/>
  <c r="L38" i="12" s="1"/>
  <c r="L35" i="7"/>
  <c r="L16" i="7"/>
  <c r="L38" i="7"/>
  <c r="D24" i="10"/>
  <c r="L24" i="10" s="1"/>
  <c r="D43" i="10"/>
  <c r="I43" i="10" s="1"/>
  <c r="O43" i="10" s="1"/>
  <c r="D40" i="10"/>
  <c r="L40" i="10" s="1"/>
  <c r="D32" i="10"/>
  <c r="I32" i="10" s="1"/>
  <c r="O32" i="10" s="1"/>
  <c r="D42" i="10"/>
  <c r="I42" i="10" s="1"/>
  <c r="L42" i="10" s="1"/>
  <c r="D20" i="10"/>
  <c r="I20" i="10" s="1"/>
  <c r="L20" i="10" s="1"/>
  <c r="D26" i="12"/>
  <c r="I26" i="12" s="1"/>
  <c r="L26" i="12" s="1"/>
  <c r="D29" i="12"/>
  <c r="I29" i="12" s="1"/>
  <c r="L29" i="12" s="1"/>
  <c r="L23" i="7"/>
  <c r="O21" i="7"/>
  <c r="D25" i="10"/>
  <c r="I25" i="10" s="1"/>
  <c r="L25" i="10" s="1"/>
  <c r="D20" i="12"/>
  <c r="I20" i="12" s="1"/>
  <c r="O20" i="12" s="1"/>
  <c r="D31" i="12"/>
  <c r="I31" i="12" s="1"/>
  <c r="L31" i="12" s="1"/>
  <c r="I10" i="13"/>
  <c r="D11" i="13"/>
  <c r="I11" i="13" s="1"/>
  <c r="D19" i="13"/>
  <c r="I19" i="13" s="1"/>
  <c r="D30" i="13"/>
  <c r="I30" i="13" s="1"/>
  <c r="D33" i="13"/>
  <c r="I33" i="13" s="1"/>
  <c r="D26" i="13"/>
  <c r="I26" i="13" s="1"/>
  <c r="D23" i="13"/>
  <c r="I23" i="13" s="1"/>
  <c r="D14" i="13"/>
  <c r="I14" i="13" s="1"/>
  <c r="D32" i="13"/>
  <c r="D16" i="13"/>
  <c r="I16" i="13" s="1"/>
  <c r="D15" i="13"/>
  <c r="I15" i="13" s="1"/>
  <c r="D17" i="13"/>
  <c r="I17" i="13" s="1"/>
  <c r="D35" i="13"/>
  <c r="I35" i="13" s="1"/>
  <c r="D29" i="13"/>
  <c r="I29" i="13" s="1"/>
  <c r="D18" i="13"/>
  <c r="I18" i="13" s="1"/>
  <c r="D36" i="13"/>
  <c r="I36" i="13" s="1"/>
  <c r="D42" i="13"/>
  <c r="I42" i="13" s="1"/>
  <c r="D38" i="13"/>
  <c r="I38" i="13" s="1"/>
  <c r="D43" i="13"/>
  <c r="I43" i="13" s="1"/>
  <c r="D12" i="13"/>
  <c r="I12" i="13" s="1"/>
  <c r="D41" i="13"/>
  <c r="I41" i="13" s="1"/>
  <c r="D24" i="13"/>
  <c r="I24" i="13" s="1"/>
  <c r="D21" i="13"/>
  <c r="I21" i="13" s="1"/>
  <c r="D40" i="13"/>
  <c r="I40" i="13" s="1"/>
  <c r="D13" i="13"/>
  <c r="I13" i="13" s="1"/>
  <c r="D39" i="13"/>
  <c r="I39" i="13" s="1"/>
  <c r="D31" i="13"/>
  <c r="I31" i="13" s="1"/>
  <c r="D27" i="13"/>
  <c r="I27" i="13" s="1"/>
  <c r="D28" i="13"/>
  <c r="I28" i="13" s="1"/>
  <c r="D22" i="13"/>
  <c r="I22" i="13" s="1"/>
  <c r="L21" i="7"/>
  <c r="O35" i="7"/>
  <c r="D37" i="9"/>
  <c r="I37" i="9" s="1"/>
  <c r="L37" i="9" s="1"/>
  <c r="D28" i="9"/>
  <c r="I28" i="9" s="1"/>
  <c r="L28" i="9" s="1"/>
  <c r="D12" i="9"/>
  <c r="I12" i="9" s="1"/>
  <c r="L12" i="9" s="1"/>
  <c r="D16" i="9"/>
  <c r="I16" i="9" s="1"/>
  <c r="L16" i="9" s="1"/>
  <c r="D30" i="9"/>
  <c r="I30" i="9" s="1"/>
  <c r="L30" i="9" s="1"/>
  <c r="D18" i="9"/>
  <c r="I18" i="9" s="1"/>
  <c r="L18" i="9" s="1"/>
  <c r="D17" i="9"/>
  <c r="I17" i="9" s="1"/>
  <c r="L17" i="9" s="1"/>
  <c r="D23" i="9"/>
  <c r="I23" i="9" s="1"/>
  <c r="L23" i="9" s="1"/>
  <c r="D35" i="12"/>
  <c r="I35" i="12" s="1"/>
  <c r="L35" i="12" s="1"/>
  <c r="D41" i="12"/>
  <c r="I41" i="12" s="1"/>
  <c r="O41" i="12" s="1"/>
  <c r="O37" i="7"/>
  <c r="O29" i="7"/>
  <c r="O18" i="7"/>
  <c r="O32" i="7"/>
  <c r="D26" i="10"/>
  <c r="I26" i="10" s="1"/>
  <c r="O26" i="10" s="1"/>
  <c r="D19" i="10"/>
  <c r="I19" i="10" s="1"/>
  <c r="L19" i="10" s="1"/>
  <c r="D22" i="10"/>
  <c r="I22" i="10" s="1"/>
  <c r="D23" i="10"/>
  <c r="I23" i="10" s="1"/>
  <c r="D30" i="10"/>
  <c r="I30" i="10" s="1"/>
  <c r="O30" i="10" s="1"/>
  <c r="D31" i="10"/>
  <c r="I31" i="10" s="1"/>
  <c r="O31" i="10" s="1"/>
  <c r="O10" i="12"/>
  <c r="D13" i="12"/>
  <c r="I13" i="12" s="1"/>
  <c r="O13" i="12" s="1"/>
  <c r="D28" i="12"/>
  <c r="I28" i="12" s="1"/>
  <c r="O28" i="12" s="1"/>
  <c r="D39" i="12"/>
  <c r="I39" i="12" s="1"/>
  <c r="O39" i="12" s="1"/>
  <c r="O15" i="7"/>
  <c r="D15" i="10"/>
  <c r="I15" i="10" s="1"/>
  <c r="O15" i="10" s="1"/>
  <c r="D35" i="10"/>
  <c r="I35" i="10" s="1"/>
  <c r="O35" i="10" s="1"/>
  <c r="D23" i="12"/>
  <c r="I23" i="12" s="1"/>
  <c r="L23" i="12" s="1"/>
  <c r="D25" i="12"/>
  <c r="I25" i="12" s="1"/>
  <c r="O25" i="12" s="1"/>
  <c r="D34" i="13"/>
  <c r="I34" i="13" s="1"/>
  <c r="L34" i="13" s="1"/>
  <c r="D11" i="7"/>
  <c r="O11" i="7" s="1"/>
  <c r="D17" i="7"/>
  <c r="I17" i="7" s="1"/>
  <c r="D33" i="7"/>
  <c r="I33" i="7" s="1"/>
  <c r="O20" i="13"/>
  <c r="L20" i="13"/>
  <c r="O37" i="13"/>
  <c r="L37" i="13"/>
  <c r="O25" i="13"/>
  <c r="L25" i="13"/>
  <c r="O11" i="12"/>
  <c r="L11" i="12"/>
  <c r="O37" i="12"/>
  <c r="L37" i="12"/>
  <c r="O24" i="12"/>
  <c r="L24" i="12"/>
  <c r="L30" i="12"/>
  <c r="O17" i="12"/>
  <c r="L17" i="12"/>
  <c r="O34" i="12"/>
  <c r="L34" i="12"/>
  <c r="L42" i="12"/>
  <c r="L33" i="12"/>
  <c r="O19" i="12"/>
  <c r="L19" i="12"/>
  <c r="O17" i="10"/>
  <c r="L17" i="10"/>
  <c r="L27" i="10"/>
  <c r="O37" i="10"/>
  <c r="L37" i="10"/>
  <c r="O29" i="10"/>
  <c r="L29" i="10"/>
  <c r="O13" i="10"/>
  <c r="L13" i="10"/>
  <c r="O34" i="10"/>
  <c r="L34" i="10"/>
  <c r="O12" i="10"/>
  <c r="L12" i="10"/>
  <c r="O16" i="10"/>
  <c r="L16" i="10"/>
  <c r="L15" i="10"/>
  <c r="L43" i="10"/>
  <c r="L14" i="10"/>
  <c r="O14" i="10"/>
  <c r="L11" i="10"/>
  <c r="O11" i="10"/>
  <c r="O39" i="10"/>
  <c r="L39" i="10"/>
  <c r="L38" i="10"/>
  <c r="L21" i="10"/>
  <c r="O21" i="10"/>
  <c r="O41" i="10"/>
  <c r="O20" i="10"/>
  <c r="L33" i="10"/>
  <c r="O33" i="10"/>
  <c r="L28" i="10"/>
  <c r="O28" i="10"/>
  <c r="L34" i="9"/>
  <c r="I32" i="9"/>
  <c r="L32" i="9" s="1"/>
  <c r="I22" i="9"/>
  <c r="L22" i="9" s="1"/>
  <c r="I33" i="9"/>
  <c r="L33" i="9" s="1"/>
  <c r="O11" i="9"/>
  <c r="L11" i="9"/>
  <c r="I24" i="9"/>
  <c r="L24" i="9" s="1"/>
  <c r="O21" i="9"/>
  <c r="I27" i="9"/>
  <c r="L27" i="9" s="1"/>
  <c r="I13" i="9"/>
  <c r="L13" i="9" s="1"/>
  <c r="O40" i="9"/>
  <c r="I43" i="9"/>
  <c r="L43" i="9" s="1"/>
  <c r="I15" i="9"/>
  <c r="L15" i="9" s="1"/>
  <c r="I14" i="9"/>
  <c r="L14" i="9" s="1"/>
  <c r="I25" i="9"/>
  <c r="L25" i="9" s="1"/>
  <c r="I31" i="9"/>
  <c r="L31" i="9" s="1"/>
  <c r="I26" i="9"/>
  <c r="L26" i="9" s="1"/>
  <c r="I36" i="9"/>
  <c r="L36" i="9" s="1"/>
  <c r="I38" i="9"/>
  <c r="L38" i="9" s="1"/>
  <c r="I39" i="9"/>
  <c r="L39" i="9" s="1"/>
  <c r="L13" i="7"/>
  <c r="O12" i="7"/>
  <c r="L14" i="7"/>
  <c r="L18" i="7"/>
  <c r="L37" i="7"/>
  <c r="O24" i="7"/>
  <c r="L29" i="7"/>
  <c r="O20" i="7"/>
  <c r="L36" i="7"/>
  <c r="O28" i="7"/>
  <c r="O19" i="7"/>
  <c r="O23" i="7"/>
  <c r="O27" i="7"/>
  <c r="O34" i="7"/>
  <c r="O26" i="7"/>
  <c r="L43" i="7"/>
  <c r="O16" i="7"/>
  <c r="L25" i="7"/>
  <c r="L32" i="7"/>
  <c r="O22" i="7"/>
  <c r="O38" i="7"/>
  <c r="O30" i="7"/>
  <c r="L31" i="7"/>
  <c r="O41" i="7"/>
  <c r="O39" i="7"/>
  <c r="D40" i="11"/>
  <c r="I40" i="11" s="1"/>
  <c r="D31" i="11"/>
  <c r="I31" i="11" s="1"/>
  <c r="D25" i="11"/>
  <c r="I25" i="11" s="1"/>
  <c r="D26" i="11"/>
  <c r="I26" i="11" s="1"/>
  <c r="D36" i="11"/>
  <c r="I36" i="11" s="1"/>
  <c r="D16" i="11"/>
  <c r="I16" i="11" s="1"/>
  <c r="D30" i="11"/>
  <c r="I30" i="11" s="1"/>
  <c r="D38" i="11"/>
  <c r="D21" i="11"/>
  <c r="I21" i="11" s="1"/>
  <c r="D42" i="11"/>
  <c r="I42" i="11" s="1"/>
  <c r="D37" i="11"/>
  <c r="I37" i="11" s="1"/>
  <c r="D22" i="11"/>
  <c r="I22" i="11" s="1"/>
  <c r="D29" i="11"/>
  <c r="I29" i="11" s="1"/>
  <c r="D14" i="11"/>
  <c r="I14" i="11" s="1"/>
  <c r="D13" i="11"/>
  <c r="I13" i="11" s="1"/>
  <c r="D33" i="11"/>
  <c r="D39" i="11"/>
  <c r="I39" i="11" s="1"/>
  <c r="D11" i="11"/>
  <c r="I11" i="11" s="1"/>
  <c r="D41" i="11"/>
  <c r="I41" i="11" s="1"/>
  <c r="D28" i="11"/>
  <c r="I28" i="11" s="1"/>
  <c r="D19" i="11"/>
  <c r="I19" i="11" s="1"/>
  <c r="D24" i="11"/>
  <c r="I24" i="11" s="1"/>
  <c r="D35" i="11"/>
  <c r="I35" i="11" s="1"/>
  <c r="D34" i="11"/>
  <c r="I34" i="11" s="1"/>
  <c r="D15" i="11"/>
  <c r="I15" i="11" s="1"/>
  <c r="D20" i="11"/>
  <c r="I20" i="11" s="1"/>
  <c r="D12" i="11"/>
  <c r="I12" i="11" s="1"/>
  <c r="D43" i="11"/>
  <c r="D17" i="11"/>
  <c r="I17" i="11" s="1"/>
  <c r="D23" i="11"/>
  <c r="I23" i="11" s="1"/>
  <c r="D18" i="11"/>
  <c r="I18" i="11" s="1"/>
  <c r="D32" i="11"/>
  <c r="D27" i="11"/>
  <c r="I27" i="11" s="1"/>
  <c r="D11" i="8"/>
  <c r="I11" i="8" s="1"/>
  <c r="D30" i="8"/>
  <c r="I30" i="8" s="1"/>
  <c r="D39" i="8"/>
  <c r="I39" i="8" s="1"/>
  <c r="D22" i="8"/>
  <c r="I22" i="8" s="1"/>
  <c r="D38" i="8"/>
  <c r="I38" i="8" s="1"/>
  <c r="D18" i="8"/>
  <c r="D27" i="8"/>
  <c r="I27" i="8" s="1"/>
  <c r="D16" i="8"/>
  <c r="I16" i="8" s="1"/>
  <c r="D41" i="8"/>
  <c r="I41" i="8" s="1"/>
  <c r="D42" i="8"/>
  <c r="D19" i="8"/>
  <c r="I19" i="8" s="1"/>
  <c r="D15" i="8"/>
  <c r="I15" i="8" s="1"/>
  <c r="D31" i="8"/>
  <c r="I31" i="8" s="1"/>
  <c r="D14" i="8"/>
  <c r="I14" i="8" s="1"/>
  <c r="D32" i="8"/>
  <c r="I32" i="8" s="1"/>
  <c r="D24" i="8"/>
  <c r="I24" i="8" s="1"/>
  <c r="D26" i="8"/>
  <c r="I26" i="8" s="1"/>
  <c r="D43" i="8"/>
  <c r="I43" i="8" s="1"/>
  <c r="D36" i="8"/>
  <c r="I36" i="8" s="1"/>
  <c r="D37" i="8"/>
  <c r="I37" i="8" s="1"/>
  <c r="D33" i="8"/>
  <c r="I33" i="8" s="1"/>
  <c r="D23" i="8"/>
  <c r="I23" i="8" s="1"/>
  <c r="D40" i="8"/>
  <c r="I40" i="8" s="1"/>
  <c r="D29" i="8"/>
  <c r="I29" i="8" s="1"/>
  <c r="D17" i="8"/>
  <c r="I17" i="8" s="1"/>
  <c r="D28" i="8"/>
  <c r="I28" i="8" s="1"/>
  <c r="D35" i="8"/>
  <c r="I35" i="8" s="1"/>
  <c r="D12" i="8"/>
  <c r="I12" i="8" s="1"/>
  <c r="D25" i="8"/>
  <c r="I25" i="8" s="1"/>
  <c r="D13" i="8"/>
  <c r="I13" i="8" s="1"/>
  <c r="D34" i="8"/>
  <c r="I34" i="8" s="1"/>
  <c r="D20" i="8"/>
  <c r="I20" i="8" s="1"/>
  <c r="D21" i="8"/>
  <c r="I21" i="8" s="1"/>
  <c r="D35" i="4"/>
  <c r="I35" i="4" s="1"/>
  <c r="D38" i="4"/>
  <c r="I38" i="4" s="1"/>
  <c r="D31" i="4"/>
  <c r="I31" i="4" s="1"/>
  <c r="D30" i="4"/>
  <c r="I30" i="4" s="1"/>
  <c r="D32" i="4"/>
  <c r="I32" i="4" s="1"/>
  <c r="D34" i="4"/>
  <c r="I34" i="4" s="1"/>
  <c r="D13" i="4"/>
  <c r="I13" i="4" s="1"/>
  <c r="D42" i="4"/>
  <c r="I42" i="4" s="1"/>
  <c r="D43" i="4"/>
  <c r="I43" i="4" s="1"/>
  <c r="D29" i="4"/>
  <c r="I29" i="4" s="1"/>
  <c r="D17" i="4"/>
  <c r="I17" i="4" s="1"/>
  <c r="D41" i="4"/>
  <c r="I41" i="4" s="1"/>
  <c r="D27" i="4"/>
  <c r="I27" i="4" s="1"/>
  <c r="D15" i="4"/>
  <c r="I15" i="4" s="1"/>
  <c r="D18" i="4"/>
  <c r="I18" i="4" s="1"/>
  <c r="D26" i="4"/>
  <c r="D20" i="4"/>
  <c r="I20" i="4" s="1"/>
  <c r="D23" i="4"/>
  <c r="I23" i="4" s="1"/>
  <c r="D40" i="4"/>
  <c r="I40" i="4" s="1"/>
  <c r="D36" i="4"/>
  <c r="I36" i="4" s="1"/>
  <c r="D16" i="4"/>
  <c r="I16" i="4" s="1"/>
  <c r="D21" i="4"/>
  <c r="I21" i="4" s="1"/>
  <c r="D22" i="4"/>
  <c r="I22" i="4" s="1"/>
  <c r="D19" i="4"/>
  <c r="I19" i="4" s="1"/>
  <c r="D37" i="4"/>
  <c r="I37" i="4" s="1"/>
  <c r="D28" i="4"/>
  <c r="I28" i="4" s="1"/>
  <c r="D12" i="4"/>
  <c r="I12" i="4" s="1"/>
  <c r="D25" i="4"/>
  <c r="I25" i="4" s="1"/>
  <c r="D33" i="4"/>
  <c r="I33" i="4" s="1"/>
  <c r="D24" i="4"/>
  <c r="I24" i="4" s="1"/>
  <c r="D14" i="4"/>
  <c r="I14" i="4" s="1"/>
  <c r="D11" i="4"/>
  <c r="I11" i="4" s="1"/>
  <c r="D39" i="4"/>
  <c r="I39" i="4" s="1"/>
  <c r="D16" i="3"/>
  <c r="I16" i="3" s="1"/>
  <c r="O16" i="3" s="1"/>
  <c r="D31" i="3"/>
  <c r="I31" i="3" s="1"/>
  <c r="O31" i="3" s="1"/>
  <c r="D15" i="3"/>
  <c r="I15" i="3" s="1"/>
  <c r="O20" i="3"/>
  <c r="D38" i="3"/>
  <c r="I38" i="3" s="1"/>
  <c r="O38" i="3" s="1"/>
  <c r="D14" i="3"/>
  <c r="I14" i="3" s="1"/>
  <c r="D30" i="3"/>
  <c r="I30" i="3" s="1"/>
  <c r="O30" i="3" s="1"/>
  <c r="D12" i="3"/>
  <c r="I12" i="3" s="1"/>
  <c r="O12" i="3" s="1"/>
  <c r="D39" i="3"/>
  <c r="I39" i="3" s="1"/>
  <c r="O39" i="3" s="1"/>
  <c r="D22" i="3"/>
  <c r="I22" i="3" s="1"/>
  <c r="O22" i="3" s="1"/>
  <c r="D28" i="3"/>
  <c r="I28" i="3" s="1"/>
  <c r="O28" i="3" s="1"/>
  <c r="D26" i="3"/>
  <c r="I26" i="3" s="1"/>
  <c r="O26" i="3" s="1"/>
  <c r="D13" i="3"/>
  <c r="I13" i="3" s="1"/>
  <c r="D35" i="3"/>
  <c r="I35" i="3" s="1"/>
  <c r="O35" i="3" s="1"/>
  <c r="D32" i="3"/>
  <c r="I32" i="3" s="1"/>
  <c r="O32" i="3" s="1"/>
  <c r="D29" i="3"/>
  <c r="I29" i="3" s="1"/>
  <c r="O29" i="3" s="1"/>
  <c r="D19" i="3"/>
  <c r="I19" i="3" s="1"/>
  <c r="D40" i="3"/>
  <c r="I40" i="3" s="1"/>
  <c r="O40" i="3" s="1"/>
  <c r="D41" i="3"/>
  <c r="I41" i="3" s="1"/>
  <c r="O41" i="3" s="1"/>
  <c r="D23" i="3"/>
  <c r="I23" i="3" s="1"/>
  <c r="O23" i="3" s="1"/>
  <c r="D27" i="3"/>
  <c r="I27" i="3" s="1"/>
  <c r="O27" i="3" s="1"/>
  <c r="D25" i="3"/>
  <c r="I25" i="3" s="1"/>
  <c r="O25" i="3" s="1"/>
  <c r="D43" i="3"/>
  <c r="I43" i="3" s="1"/>
  <c r="O43" i="3" s="1"/>
  <c r="D24" i="3"/>
  <c r="I24" i="3" s="1"/>
  <c r="O24" i="3" s="1"/>
  <c r="D33" i="3"/>
  <c r="I33" i="3" s="1"/>
  <c r="O33" i="3" s="1"/>
  <c r="D42" i="3"/>
  <c r="I42" i="3" s="1"/>
  <c r="D36" i="3"/>
  <c r="I36" i="3" s="1"/>
  <c r="O36" i="3" s="1"/>
  <c r="D34" i="3"/>
  <c r="I34" i="3" s="1"/>
  <c r="O34" i="3" s="1"/>
  <c r="D18" i="3"/>
  <c r="I18" i="3" s="1"/>
  <c r="O18" i="3" s="1"/>
  <c r="D37" i="3"/>
  <c r="I37" i="3" s="1"/>
  <c r="O37" i="3" s="1"/>
  <c r="O21" i="3"/>
  <c r="D17" i="3"/>
  <c r="I17" i="3" s="1"/>
  <c r="O17" i="3" s="1"/>
  <c r="G18" i="3"/>
  <c r="K17" i="3"/>
  <c r="O22" i="12" l="1"/>
  <c r="L35" i="10"/>
  <c r="L28" i="12"/>
  <c r="O25" i="10"/>
  <c r="L16" i="12"/>
  <c r="L32" i="10"/>
  <c r="O40" i="12"/>
  <c r="O40" i="10"/>
  <c r="L31" i="10"/>
  <c r="L29" i="9"/>
  <c r="L30" i="10"/>
  <c r="L14" i="12"/>
  <c r="O23" i="12"/>
  <c r="O34" i="13"/>
  <c r="O26" i="12"/>
  <c r="O21" i="12"/>
  <c r="O31" i="12"/>
  <c r="L20" i="12"/>
  <c r="L39" i="12"/>
  <c r="L27" i="12"/>
  <c r="L13" i="12"/>
  <c r="O35" i="12"/>
  <c r="O29" i="12"/>
  <c r="O38" i="12"/>
  <c r="O42" i="10"/>
  <c r="O19" i="10"/>
  <c r="L26" i="10"/>
  <c r="L11" i="7"/>
  <c r="L13" i="13"/>
  <c r="O13" i="13"/>
  <c r="L32" i="13"/>
  <c r="O32" i="13"/>
  <c r="L25" i="12"/>
  <c r="L12" i="13"/>
  <c r="O12" i="13"/>
  <c r="L30" i="13"/>
  <c r="O30" i="13"/>
  <c r="O15" i="12"/>
  <c r="L15" i="12"/>
  <c r="L28" i="13"/>
  <c r="O28" i="13"/>
  <c r="L41" i="13"/>
  <c r="O41" i="13"/>
  <c r="O35" i="13"/>
  <c r="L35" i="13"/>
  <c r="O32" i="12"/>
  <c r="O24" i="10"/>
  <c r="L10" i="12"/>
  <c r="L17" i="7"/>
  <c r="O17" i="7"/>
  <c r="O27" i="13"/>
  <c r="L27" i="13"/>
  <c r="L40" i="13"/>
  <c r="O40" i="13"/>
  <c r="L36" i="13"/>
  <c r="O17" i="13"/>
  <c r="L17" i="13"/>
  <c r="L14" i="13"/>
  <c r="O14" i="13"/>
  <c r="O37" i="9"/>
  <c r="O19" i="3"/>
  <c r="O14" i="9"/>
  <c r="O41" i="9"/>
  <c r="L31" i="13"/>
  <c r="O31" i="13"/>
  <c r="O21" i="13"/>
  <c r="L21" i="13"/>
  <c r="L43" i="13"/>
  <c r="O43" i="13"/>
  <c r="L18" i="13"/>
  <c r="O18" i="13"/>
  <c r="O15" i="13"/>
  <c r="L15" i="13"/>
  <c r="O23" i="13"/>
  <c r="L23" i="13"/>
  <c r="O19" i="13"/>
  <c r="L19" i="13"/>
  <c r="L36" i="10"/>
  <c r="O36" i="10"/>
  <c r="O12" i="12"/>
  <c r="L12" i="12"/>
  <c r="O43" i="12"/>
  <c r="L43" i="12"/>
  <c r="L33" i="7"/>
  <c r="O33" i="7"/>
  <c r="O42" i="13"/>
  <c r="L33" i="13"/>
  <c r="O33" i="13"/>
  <c r="O42" i="3"/>
  <c r="O22" i="10"/>
  <c r="O28" i="9"/>
  <c r="O23" i="10"/>
  <c r="L23" i="10"/>
  <c r="O22" i="13"/>
  <c r="L22" i="13"/>
  <c r="O39" i="13"/>
  <c r="L39" i="13"/>
  <c r="L24" i="13"/>
  <c r="O24" i="13"/>
  <c r="L38" i="13"/>
  <c r="O38" i="13"/>
  <c r="L29" i="13"/>
  <c r="O29" i="13"/>
  <c r="L16" i="13"/>
  <c r="O16" i="13"/>
  <c r="L26" i="13"/>
  <c r="O26" i="13"/>
  <c r="O11" i="13"/>
  <c r="L11" i="13"/>
  <c r="L18" i="10"/>
  <c r="O18" i="10"/>
  <c r="O36" i="12"/>
  <c r="L36" i="12"/>
  <c r="O18" i="12"/>
  <c r="L18" i="12"/>
  <c r="O35" i="11"/>
  <c r="L35" i="11"/>
  <c r="O37" i="11"/>
  <c r="L37" i="11"/>
  <c r="O27" i="11"/>
  <c r="L27" i="11"/>
  <c r="O17" i="11"/>
  <c r="L17" i="11"/>
  <c r="O15" i="11"/>
  <c r="L15" i="11"/>
  <c r="O19" i="11"/>
  <c r="L19" i="11"/>
  <c r="L39" i="11"/>
  <c r="O29" i="11"/>
  <c r="L29" i="11"/>
  <c r="O21" i="11"/>
  <c r="L21" i="11"/>
  <c r="O36" i="11"/>
  <c r="L36" i="11"/>
  <c r="O40" i="11"/>
  <c r="L40" i="11"/>
  <c r="O41" i="11"/>
  <c r="L41" i="11"/>
  <c r="O30" i="11"/>
  <c r="L30" i="11"/>
  <c r="O32" i="11"/>
  <c r="L32" i="11"/>
  <c r="O34" i="11"/>
  <c r="O28" i="11"/>
  <c r="L28" i="11"/>
  <c r="O22" i="11"/>
  <c r="L22" i="11"/>
  <c r="O26" i="11"/>
  <c r="L26" i="11"/>
  <c r="O18" i="11"/>
  <c r="L18" i="11"/>
  <c r="O12" i="11"/>
  <c r="L12" i="11"/>
  <c r="O13" i="11"/>
  <c r="L13" i="11"/>
  <c r="O25" i="11"/>
  <c r="L25" i="11"/>
  <c r="O23" i="11"/>
  <c r="L23" i="11"/>
  <c r="O20" i="11"/>
  <c r="L20" i="11"/>
  <c r="O24" i="11"/>
  <c r="L24" i="11"/>
  <c r="O11" i="11"/>
  <c r="L11" i="11"/>
  <c r="O14" i="11"/>
  <c r="L14" i="11"/>
  <c r="O42" i="11"/>
  <c r="L42" i="11"/>
  <c r="O16" i="11"/>
  <c r="L16" i="11"/>
  <c r="O31" i="11"/>
  <c r="L31" i="11"/>
  <c r="I33" i="11"/>
  <c r="I38" i="11"/>
  <c r="O24" i="4"/>
  <c r="L24" i="4"/>
  <c r="O28" i="4"/>
  <c r="L21" i="4"/>
  <c r="O21" i="4"/>
  <c r="L23" i="4"/>
  <c r="O23" i="4"/>
  <c r="O15" i="4"/>
  <c r="L15" i="4"/>
  <c r="O29" i="4"/>
  <c r="L29" i="4"/>
  <c r="L34" i="4"/>
  <c r="O34" i="4"/>
  <c r="L38" i="4"/>
  <c r="O38" i="4"/>
  <c r="O39" i="4"/>
  <c r="L39" i="4"/>
  <c r="L33" i="4"/>
  <c r="O33" i="4"/>
  <c r="O37" i="4"/>
  <c r="L37" i="4"/>
  <c r="O16" i="4"/>
  <c r="L16" i="4"/>
  <c r="O20" i="4"/>
  <c r="L20" i="4"/>
  <c r="O27" i="4"/>
  <c r="L27" i="4"/>
  <c r="L43" i="4"/>
  <c r="O32" i="4"/>
  <c r="L32" i="4"/>
  <c r="L35" i="4"/>
  <c r="O11" i="4"/>
  <c r="L11" i="4"/>
  <c r="L25" i="4"/>
  <c r="O19" i="4"/>
  <c r="L19" i="4"/>
  <c r="O36" i="4"/>
  <c r="L36" i="4"/>
  <c r="L26" i="4"/>
  <c r="O26" i="4"/>
  <c r="O41" i="4"/>
  <c r="L41" i="4"/>
  <c r="O42" i="4"/>
  <c r="L30" i="4"/>
  <c r="O30" i="4"/>
  <c r="L14" i="4"/>
  <c r="O14" i="4"/>
  <c r="L12" i="4"/>
  <c r="O12" i="4"/>
  <c r="L22" i="4"/>
  <c r="O22" i="4"/>
  <c r="O40" i="4"/>
  <c r="L40" i="4"/>
  <c r="L18" i="4"/>
  <c r="O18" i="4"/>
  <c r="O17" i="4"/>
  <c r="L17" i="4"/>
  <c r="L13" i="4"/>
  <c r="O13" i="4"/>
  <c r="O31" i="4"/>
  <c r="L31" i="4"/>
  <c r="O31" i="9"/>
  <c r="O16" i="9"/>
  <c r="O34" i="9"/>
  <c r="O36" i="9"/>
  <c r="O18" i="9"/>
  <c r="O22" i="9"/>
  <c r="O39" i="9"/>
  <c r="O23" i="9"/>
  <c r="O19" i="9"/>
  <c r="O13" i="9"/>
  <c r="O38" i="9"/>
  <c r="O26" i="9"/>
  <c r="O25" i="9"/>
  <c r="O15" i="9"/>
  <c r="O17" i="9"/>
  <c r="O30" i="9"/>
  <c r="O12" i="9"/>
  <c r="O43" i="9"/>
  <c r="O35" i="9"/>
  <c r="O20" i="9"/>
  <c r="O27" i="9"/>
  <c r="O33" i="9"/>
  <c r="O32" i="9"/>
  <c r="L42" i="8"/>
  <c r="O42" i="8"/>
  <c r="L16" i="3"/>
  <c r="O12" i="8"/>
  <c r="L12" i="8"/>
  <c r="O31" i="8"/>
  <c r="L31" i="8"/>
  <c r="O38" i="8"/>
  <c r="L38" i="8"/>
  <c r="O13" i="3"/>
  <c r="L13" i="3"/>
  <c r="O14" i="3"/>
  <c r="L14" i="3"/>
  <c r="L34" i="8"/>
  <c r="O34" i="8"/>
  <c r="L35" i="8"/>
  <c r="O35" i="8"/>
  <c r="O40" i="8"/>
  <c r="L40" i="8"/>
  <c r="O37" i="8"/>
  <c r="L37" i="8"/>
  <c r="L24" i="8"/>
  <c r="O24" i="8"/>
  <c r="O15" i="8"/>
  <c r="L15" i="8"/>
  <c r="O16" i="8"/>
  <c r="L16" i="8"/>
  <c r="O22" i="8"/>
  <c r="L22" i="8"/>
  <c r="O20" i="8"/>
  <c r="L20" i="8"/>
  <c r="O33" i="8"/>
  <c r="L33" i="8"/>
  <c r="O11" i="8"/>
  <c r="L13" i="8"/>
  <c r="O13" i="8"/>
  <c r="L28" i="8"/>
  <c r="O28" i="8"/>
  <c r="O23" i="8"/>
  <c r="L23" i="8"/>
  <c r="O36" i="8"/>
  <c r="L36" i="8"/>
  <c r="L32" i="8"/>
  <c r="L19" i="8"/>
  <c r="O19" i="8"/>
  <c r="O27" i="8"/>
  <c r="L27" i="8"/>
  <c r="L39" i="8"/>
  <c r="O39" i="8"/>
  <c r="O11" i="3"/>
  <c r="L11" i="3"/>
  <c r="O15" i="3"/>
  <c r="L15" i="3"/>
  <c r="O29" i="8"/>
  <c r="L29" i="8"/>
  <c r="L26" i="8"/>
  <c r="O26" i="8"/>
  <c r="O41" i="8"/>
  <c r="L12" i="3"/>
  <c r="L21" i="8"/>
  <c r="O21" i="8"/>
  <c r="L25" i="8"/>
  <c r="O25" i="8"/>
  <c r="L17" i="8"/>
  <c r="L43" i="8"/>
  <c r="L14" i="8"/>
  <c r="O14" i="8"/>
  <c r="L18" i="8"/>
  <c r="O18" i="8"/>
  <c r="O30" i="8"/>
  <c r="L30" i="8"/>
  <c r="L17" i="3"/>
  <c r="N17" i="3"/>
  <c r="K18" i="3"/>
  <c r="G19" i="3"/>
  <c r="O38" i="11" l="1"/>
  <c r="L38" i="11"/>
  <c r="O33" i="11"/>
  <c r="L33" i="11"/>
  <c r="L18" i="3"/>
  <c r="N18" i="3"/>
  <c r="G20" i="3"/>
  <c r="K20" i="3" s="1"/>
  <c r="N19" i="3" l="1"/>
  <c r="L19" i="3"/>
  <c r="N20" i="3"/>
  <c r="L20" i="3"/>
  <c r="G21" i="3"/>
  <c r="K21" i="3" s="1"/>
  <c r="L21" i="3" l="1"/>
  <c r="N21" i="3"/>
  <c r="G22" i="3"/>
  <c r="G23" i="3" l="1"/>
  <c r="N22" i="3" l="1"/>
  <c r="G24" i="3"/>
  <c r="K23" i="3"/>
  <c r="L23" i="3" l="1"/>
  <c r="N23" i="3"/>
  <c r="K24" i="3"/>
  <c r="G25" i="3"/>
  <c r="N24" i="3" l="1"/>
  <c r="L24" i="3"/>
  <c r="K25" i="3"/>
  <c r="G26" i="3"/>
  <c r="L25" i="3" l="1"/>
  <c r="N25" i="3"/>
  <c r="G27" i="3"/>
  <c r="N26" i="3" l="1"/>
  <c r="L26" i="3"/>
  <c r="K27" i="3"/>
  <c r="G28" i="3"/>
  <c r="L27" i="3" l="1"/>
  <c r="N27" i="3"/>
  <c r="K28" i="3"/>
  <c r="G29" i="3"/>
  <c r="N28" i="3" l="1"/>
  <c r="L28" i="3"/>
  <c r="K29" i="3"/>
  <c r="G30" i="3"/>
  <c r="L29" i="3" l="1"/>
  <c r="N29" i="3"/>
  <c r="K30" i="3"/>
  <c r="G31" i="3"/>
  <c r="L30" i="3" l="1"/>
  <c r="N30" i="3"/>
  <c r="K31" i="3"/>
  <c r="G32" i="3"/>
  <c r="L31" i="3" l="1"/>
  <c r="N31" i="3"/>
  <c r="K32" i="3"/>
  <c r="G33" i="3"/>
  <c r="N32" i="3" l="1"/>
  <c r="L32" i="3"/>
  <c r="K33" i="3"/>
  <c r="N33" i="3" s="1"/>
  <c r="G34" i="3"/>
  <c r="L33" i="3" l="1"/>
  <c r="K34" i="3"/>
  <c r="G35" i="3"/>
  <c r="L34" i="3" l="1"/>
  <c r="N34" i="3"/>
  <c r="K35" i="3"/>
  <c r="G36" i="3"/>
  <c r="L35" i="3" l="1"/>
  <c r="N35" i="3"/>
  <c r="K36" i="3"/>
  <c r="G37" i="3"/>
  <c r="N36" i="3" l="1"/>
  <c r="L36" i="3"/>
  <c r="K37" i="3"/>
  <c r="L37" i="3" s="1"/>
  <c r="G38" i="3"/>
  <c r="N37" i="3" l="1"/>
  <c r="K38" i="3"/>
  <c r="G39" i="3"/>
  <c r="N38" i="3" l="1"/>
  <c r="L38" i="3"/>
  <c r="K39" i="3"/>
  <c r="G40" i="3"/>
  <c r="N39" i="3" l="1"/>
  <c r="L39" i="3"/>
  <c r="K40" i="3"/>
  <c r="G41" i="3"/>
  <c r="N40" i="3" l="1"/>
  <c r="L40" i="3"/>
  <c r="K41" i="3"/>
  <c r="G42" i="3"/>
  <c r="L41" i="3" l="1"/>
  <c r="N41" i="3"/>
  <c r="K42" i="3"/>
  <c r="L42" i="3" s="1"/>
  <c r="G43" i="3"/>
  <c r="N42" i="3" l="1"/>
  <c r="K43" i="3"/>
  <c r="N43" i="3" s="1"/>
  <c r="L43" i="3" l="1"/>
  <c r="L45" i="11" l="1"/>
</calcChain>
</file>

<file path=xl/sharedStrings.xml><?xml version="1.0" encoding="utf-8"?>
<sst xmlns="http://schemas.openxmlformats.org/spreadsheetml/2006/main" count="1584" uniqueCount="189">
  <si>
    <t>Poor to Good</t>
  </si>
  <si>
    <t>Low</t>
  </si>
  <si>
    <t>No</t>
  </si>
  <si>
    <t>Yes</t>
  </si>
  <si>
    <t>High</t>
  </si>
  <si>
    <t>Intermediate to Good</t>
  </si>
  <si>
    <t>households</t>
  </si>
  <si>
    <t>Pop &gt; age 18</t>
  </si>
  <si>
    <t>also no heuristics</t>
  </si>
  <si>
    <t>MXL</t>
  </si>
  <si>
    <t>mean WTP (unscaled, in £)</t>
  </si>
  <si>
    <t>mean WTP (original coeffs.)</t>
  </si>
  <si>
    <t>Good framing</t>
  </si>
  <si>
    <t>Bad framing</t>
  </si>
  <si>
    <t>Original mean WTP estimates</t>
  </si>
  <si>
    <t>Scotland land surface</t>
  </si>
  <si>
    <t>mean WTP values</t>
  </si>
  <si>
    <t>Lower bound (95% C.I.) mean WTP values</t>
  </si>
  <si>
    <t>Upper bound (95% C.I.) mean WTP values</t>
  </si>
  <si>
    <t>peatland surface</t>
  </si>
  <si>
    <t>1% shift of 40% of the total area</t>
  </si>
  <si>
    <t>1% shift to ha transformation</t>
  </si>
  <si>
    <t>ha</t>
  </si>
  <si>
    <t>% of attribute - equal to 1ha</t>
  </si>
  <si>
    <t>Mean WTP per ha for different scenarios</t>
  </si>
  <si>
    <t>mean WTP per hh per yr for specified increase</t>
  </si>
  <si>
    <t>refers to the following nr of ha of peatlands restored</t>
  </si>
  <si>
    <t>mean WTP per hh per yr per ha</t>
  </si>
  <si>
    <t>Aggregate mean WTP per ha per yr</t>
  </si>
  <si>
    <t>individuals</t>
  </si>
  <si>
    <t>Other useful information:</t>
  </si>
  <si>
    <t>Early - premium across all hh per year</t>
  </si>
  <si>
    <t>Midway - premium across all hh per year</t>
  </si>
  <si>
    <t>Late - premium across all hh per year</t>
  </si>
  <si>
    <t>Discount rate</t>
  </si>
  <si>
    <t>Benefits/ha</t>
  </si>
  <si>
    <t>CAP</t>
  </si>
  <si>
    <t>ADMIN/TRAC</t>
  </si>
  <si>
    <t>MC/OC</t>
  </si>
  <si>
    <t>Costs</t>
  </si>
  <si>
    <t>Discounted cash flow</t>
  </si>
  <si>
    <t>NPV</t>
  </si>
  <si>
    <t>B/C ratio</t>
  </si>
  <si>
    <t>good framing</t>
  </si>
  <si>
    <t>bad framing</t>
  </si>
  <si>
    <t>Totl. benefits</t>
  </si>
  <si>
    <t>Benefits timing</t>
  </si>
  <si>
    <t>Discounted Costs</t>
  </si>
  <si>
    <t>Discounted Benefits</t>
  </si>
  <si>
    <t>Scenario description:</t>
  </si>
  <si>
    <t>B/C with B until 2050</t>
  </si>
  <si>
    <t>NPV with B until 2050</t>
  </si>
  <si>
    <t>up to 2050</t>
  </si>
  <si>
    <t>up to 2047</t>
  </si>
  <si>
    <t>2048-2050</t>
  </si>
  <si>
    <t>0</t>
  </si>
  <si>
    <t>10% over SQ (20% over BAU), early</t>
  </si>
  <si>
    <t>10% over SQ (20% over BAU), midway</t>
  </si>
  <si>
    <t>10% over SQ (20% over BAU), late</t>
  </si>
  <si>
    <t>20% over SQ (30% over BAU), early</t>
  </si>
  <si>
    <t>20% over SQ (30% over BAU), midway</t>
  </si>
  <si>
    <t>20% over SQ (30% over BAU), late</t>
  </si>
  <si>
    <t>30% over SQ (40% over BAU), early</t>
  </si>
  <si>
    <t>30% over SQ (40% over BAU), midway</t>
  </si>
  <si>
    <t>30% over SQ (40% over BAU), late</t>
  </si>
  <si>
    <t>CAP=£1227; MC/OP=£300</t>
  </si>
  <si>
    <t>assuming £693.67/ha and 10% peatlands restored (ref: SQ)</t>
  </si>
  <si>
    <t>assuming £769.46/ha and 10% peatlands restored (ref: SQ)</t>
  </si>
  <si>
    <t>WTP for 10% increase over SQ</t>
  </si>
  <si>
    <t>WTP for early</t>
  </si>
  <si>
    <t>WTP entries</t>
  </si>
  <si>
    <t>WTP for 20% increase over SQ</t>
  </si>
  <si>
    <t>assuming £622/ha and 20% peatlands restored (ref: SQ)</t>
  </si>
  <si>
    <t>assuming £731.70/ha and 20% peatlands restored (ref: SQ)</t>
  </si>
  <si>
    <t xml:space="preserve">20% more peatlands in good condition over current level by 2027 (early) </t>
  </si>
  <si>
    <t xml:space="preserve">10% more in good condition over current level by 2027 (early) </t>
  </si>
  <si>
    <t>assuming £401.86/ha and 30% peatlands restored (ref: SQ)</t>
  </si>
  <si>
    <t>assuming £519.18/ha and 30% peatlands restored (ref: SQ)</t>
  </si>
  <si>
    <t xml:space="preserve">30% more in good condition over current level by 2027 (early) </t>
  </si>
  <si>
    <t>WTP for 30% increase over SQ</t>
  </si>
  <si>
    <t>WTP for midway</t>
  </si>
  <si>
    <t>WTP for late</t>
  </si>
  <si>
    <t>LB WTP (unscaled, in £)</t>
  </si>
  <si>
    <t>UB WTP (unscaled, in £)</t>
  </si>
  <si>
    <t>Lower Bound WTP per ha for different scenarios</t>
  </si>
  <si>
    <t>st. error of mean WTP coef.</t>
  </si>
  <si>
    <t>mean WTP entries</t>
  </si>
  <si>
    <t>Lower Bound WTP entries</t>
  </si>
  <si>
    <t>mean  WTP entries</t>
  </si>
  <si>
    <t>meanWTP entries</t>
  </si>
  <si>
    <t>Upper bound WTP per ha for different scenarios</t>
  </si>
  <si>
    <t>Upper Bound WTP entries</t>
  </si>
  <si>
    <t>assuming £559.97/ha and 10% peatlands restored (ref: SQ)</t>
  </si>
  <si>
    <t>assuming £615.39/ha and 10% peatlands restored (ref: SQ)</t>
  </si>
  <si>
    <t>assuming £827.38/ha and 10% peatlands restored (ref: SQ)</t>
  </si>
  <si>
    <t>assuming £923.53/ha and 10% peatlands restored (ref: SQ)</t>
  </si>
  <si>
    <t>assuming £523.35/ha and 20% peatlands restored (ref: SQ)</t>
  </si>
  <si>
    <t>assuming £587/ha and 20% peatlands restored (ref: SQ)</t>
  </si>
  <si>
    <t>assuming £720.64/ha and 20% peatlands restored (ref: SQ)</t>
  </si>
  <si>
    <t>assuming £876.39/ha and 20% peatlands restored (ref: SQ)</t>
  </si>
  <si>
    <t>assuming £336.35ha and 30% peatlands restored (ref: SQ)</t>
  </si>
  <si>
    <t>assuming £432.65/ha and 30% peatlands restored (ref: SQ)</t>
  </si>
  <si>
    <t>assuming £467.37/ha and 30% peatlands restored (ref: SQ)</t>
  </si>
  <si>
    <t>assuming £605.71/ha and 30% peatlands restored (ref: SQ)</t>
  </si>
  <si>
    <t>MEAN WTP</t>
  </si>
  <si>
    <t>Lower bound WTP</t>
  </si>
  <si>
    <t>Upper bound WTP</t>
  </si>
  <si>
    <t>Standard Deviations</t>
  </si>
  <si>
    <r>
      <t xml:space="preserve">20% increase over BAU - 
10% increase over SQ </t>
    </r>
    <r>
      <rPr>
        <sz val="11"/>
        <color theme="0" tint="-0.499984740745262"/>
        <rFont val="Calibri"/>
        <family val="2"/>
        <scheme val="minor"/>
      </rPr>
      <t>- 
40% in absolute level</t>
    </r>
  </si>
  <si>
    <t>MNL, in WTP-space</t>
  </si>
  <si>
    <t>MXL (with correlations), in WTP-space</t>
  </si>
  <si>
    <t>Means</t>
  </si>
  <si>
    <t>var.</t>
  </si>
  <si>
    <t>coef.</t>
  </si>
  <si>
    <t>sign.</t>
  </si>
  <si>
    <t>st.err.</t>
  </si>
  <si>
    <t>p-value</t>
  </si>
  <si>
    <t>dist.</t>
  </si>
  <si>
    <t>Wald test results:</t>
  </si>
  <si>
    <t>***</t>
  </si>
  <si>
    <t>n</t>
  </si>
  <si>
    <t>MXL (with correl.)</t>
  </si>
  <si>
    <t xml:space="preserve">   </t>
  </si>
  <si>
    <t>l</t>
  </si>
  <si>
    <t>Model diagnostics</t>
  </si>
  <si>
    <t>LL at convergence</t>
  </si>
  <si>
    <t>LL at constant(s) only</t>
  </si>
  <si>
    <t>McFadden's pseudo-R²</t>
  </si>
  <si>
    <t>Ben-Akiva-Lerman's pseudo-R²</t>
  </si>
  <si>
    <t>AIC/n</t>
  </si>
  <si>
    <t>BIC/n</t>
  </si>
  <si>
    <t>n (observations)</t>
  </si>
  <si>
    <t>r (respondents)</t>
  </si>
  <si>
    <t>k (parameters)</t>
  </si>
  <si>
    <t xml:space="preserve"> </t>
  </si>
  <si>
    <t>Estimation method</t>
  </si>
  <si>
    <t>maximum likelihood</t>
  </si>
  <si>
    <t>simulated maximum likelihood</t>
  </si>
  <si>
    <t>Optimization method</t>
  </si>
  <si>
    <t>quasi-newton</t>
  </si>
  <si>
    <t>Simulation with</t>
  </si>
  <si>
    <t>10000 Sobol draws with random linear scramble and random digital shift (skip = 1; leap = 0)</t>
  </si>
  <si>
    <t>Gradient</t>
  </si>
  <si>
    <t>user-supplied, analytical</t>
  </si>
  <si>
    <t>Hessian</t>
  </si>
  <si>
    <t>off, retained from optimization</t>
  </si>
  <si>
    <t xml:space="preserve">** </t>
  </si>
  <si>
    <r>
      <rPr>
        <sz val="11"/>
        <color theme="1"/>
        <rFont val="Calibri"/>
        <family val="2"/>
        <scheme val="minor"/>
      </rPr>
      <t>10000 Sobol draws with random linear scramble and random digital shift (skip = 1; leap = 0)</t>
    </r>
  </si>
  <si>
    <t>Pooled models</t>
  </si>
  <si>
    <t>Covariates of Scale</t>
  </si>
  <si>
    <t>bad framing treatment</t>
  </si>
  <si>
    <t>Swait-Louviere test</t>
  </si>
  <si>
    <t>LR test</t>
  </si>
  <si>
    <t>d.f.</t>
  </si>
  <si>
    <t>Pure RRM model results</t>
  </si>
  <si>
    <t>Coeff.</t>
  </si>
  <si>
    <t>St.Error</t>
  </si>
  <si>
    <t>t-stat</t>
  </si>
  <si>
    <t>Null LL : -3911.06</t>
  </si>
  <si>
    <t>Null LL : -3717.70</t>
  </si>
  <si>
    <t>Final LL: -3060.53</t>
  </si>
  <si>
    <t>Final LL: -3207.69</t>
  </si>
  <si>
    <t>rho_sq:  0.22</t>
  </si>
  <si>
    <t>rho_sq: 0.14</t>
  </si>
  <si>
    <t>MXL (without correlations), in WTP-space</t>
  </si>
  <si>
    <t>mean WTP per hh per yr for specified change</t>
  </si>
  <si>
    <r>
      <rPr>
        <b/>
        <u/>
        <sz val="11"/>
        <color rgb="FFFF0000"/>
        <rFont val="Calibri"/>
        <family val="2"/>
        <scheme val="minor"/>
      </rPr>
      <t>DISCLAIMER</t>
    </r>
    <r>
      <rPr>
        <sz val="11"/>
        <color rgb="FFFF0000"/>
        <rFont val="Calibri"/>
        <family val="2"/>
        <scheme val="minor"/>
      </rPr>
      <t>: BCA calculations are indicative and should not be used without due consideration of the underlying assumptions to inform project or policy appraisals</t>
    </r>
  </si>
  <si>
    <t>Business as usual [times 10]</t>
  </si>
  <si>
    <t>Increase in good - 10% over SQ</t>
  </si>
  <si>
    <t>Increase in good - 20% over SQ</t>
  </si>
  <si>
    <t>Increase in good - 30% over SQ</t>
  </si>
  <si>
    <t>Timing: (early)</t>
  </si>
  <si>
    <t>Timing (midway)</t>
  </si>
  <si>
    <t>-Cost [divided by 100]</t>
  </si>
  <si>
    <t>Business as usual</t>
  </si>
  <si>
    <t>-Cost [divided by 10]</t>
  </si>
  <si>
    <t>Increase in good - 10% over SQ - 20% over BAU</t>
  </si>
  <si>
    <t>Increase in good - 20% over SQ - 30% over BAU</t>
  </si>
  <si>
    <t>Increase in good - 30% over SQ - 40% over BAU</t>
  </si>
  <si>
    <t>Timing: (midway)</t>
  </si>
  <si>
    <r>
      <t xml:space="preserve">30% increase over BAU - 
20% increase over SQ </t>
    </r>
    <r>
      <rPr>
        <sz val="11"/>
        <color theme="0" tint="-0.499984740745262"/>
        <rFont val="Calibri"/>
        <family val="2"/>
        <scheme val="minor"/>
      </rPr>
      <t>- 
50% in absolute level</t>
    </r>
  </si>
  <si>
    <r>
      <t xml:space="preserve">40% increase over BAU - 
30% increase over SQ </t>
    </r>
    <r>
      <rPr>
        <sz val="11"/>
        <color theme="0" tint="-0.499984740745262"/>
        <rFont val="Calibri"/>
        <family val="2"/>
        <scheme val="minor"/>
      </rPr>
      <t>- 
60% in absolute level</t>
    </r>
  </si>
  <si>
    <t>If we want to calculate the equivalent shift from bad to good condition…</t>
  </si>
  <si>
    <t xml:space="preserve">10% more peatlands in good condition over current level between 2028 - 2038 (midway) </t>
  </si>
  <si>
    <t>20% more in good condition over current level between 2028-2038 (midway)</t>
  </si>
  <si>
    <t>30% more in good condition over current level between 2028 - 2038 (midway)</t>
  </si>
  <si>
    <t>10% more in good condition over current level between 2039 - 2050 (late)</t>
  </si>
  <si>
    <t>20% more in good condition over current level between 2039 - 2050 (late)</t>
  </si>
  <si>
    <t>30% more in good condition over current level between 2039 - 2050 (late)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</si>
</sst>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  <numFmt numFmtId="166" formatCode="_-* #,##0_-;\-* #,##0_-;_-* &quot;-&quot;??_-;_-@_-"/>
    <numFmt numFmtId="167" formatCode="_-* #,##0.000000_-;\-* #,##0.000000_-;_-* &quot;-&quot;??_-;_-@_-"/>
    <numFmt numFmtId="168" formatCode="_-* #,##0.0_-;\-* #,##0.0_-;_-* &quot;-&quot;?_-;_-@_-"/>
    <numFmt numFmtId="169" formatCode="&quot;£&quot;#,##0.00000000"/>
    <numFmt numFmtId="170" formatCode="_-* #,##0.0000000_-;\-* #,##0.0000000_-;_-* &quot;-&quot;??_-;_-@_-"/>
    <numFmt numFmtId="171" formatCode="&quot;£&quot;#,##0.00000"/>
    <numFmt numFmtId="172" formatCode="0.0000"/>
    <numFmt numFmtId="173" formatCode="0.0E+00"/>
    <numFmt numFmtId="174" formatCode="0E+00"/>
  </numFmts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</cellStyleXfs>
  <cellXfs count="156">
    <xf numFmtId="0" fontId="0" fillId="0" borderId="0" xfId="0"/>
    <xf numFmtId="0" fontId="1" fillId="0" borderId="0" xfId="0" applyFont="1" applyAlignment="1">
      <alignment horizontal="right" vertical="center"/>
    </xf>
    <xf numFmtId="164" fontId="0" fillId="0" borderId="0" xfId="0" applyNumberFormat="1"/>
    <xf numFmtId="9" fontId="0" fillId="0" borderId="0" xfId="0" applyNumberFormat="1"/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9" fontId="0" fillId="0" borderId="2" xfId="0" applyNumberFormat="1" applyBorder="1"/>
    <xf numFmtId="0" fontId="0" fillId="0" borderId="2" xfId="0" applyBorder="1"/>
    <xf numFmtId="165" fontId="0" fillId="0" borderId="2" xfId="0" applyNumberFormat="1" applyBorder="1"/>
    <xf numFmtId="165" fontId="1" fillId="0" borderId="0" xfId="0" applyNumberFormat="1" applyFont="1" applyBorder="1" applyAlignment="1">
      <alignment horizontal="right" vertical="center"/>
    </xf>
    <xf numFmtId="165" fontId="0" fillId="0" borderId="0" xfId="0" applyNumberFormat="1" applyFill="1"/>
    <xf numFmtId="0" fontId="0" fillId="0" borderId="0" xfId="0" applyFill="1"/>
    <xf numFmtId="165" fontId="1" fillId="0" borderId="0" xfId="0" applyNumberFormat="1" applyFont="1" applyBorder="1" applyAlignment="1">
      <alignment vertical="center" wrapText="1"/>
    </xf>
    <xf numFmtId="0" fontId="5" fillId="0" borderId="2" xfId="0" applyFont="1" applyBorder="1"/>
    <xf numFmtId="9" fontId="5" fillId="0" borderId="0" xfId="0" applyNumberFormat="1" applyFont="1" applyFill="1" applyBorder="1"/>
    <xf numFmtId="0" fontId="0" fillId="0" borderId="2" xfId="0" applyBorder="1" applyAlignment="1">
      <alignment horizontal="center"/>
    </xf>
    <xf numFmtId="166" fontId="0" fillId="0" borderId="0" xfId="1" applyNumberFormat="1" applyFont="1"/>
    <xf numFmtId="9" fontId="4" fillId="0" borderId="0" xfId="0" applyNumberFormat="1" applyFont="1"/>
    <xf numFmtId="43" fontId="0" fillId="0" borderId="0" xfId="0" applyNumberFormat="1"/>
    <xf numFmtId="167" fontId="0" fillId="0" borderId="0" xfId="0" applyNumberFormat="1"/>
    <xf numFmtId="0" fontId="6" fillId="0" borderId="0" xfId="0" applyFont="1" applyAlignment="1">
      <alignment horizontal="left" indent="1"/>
    </xf>
    <xf numFmtId="43" fontId="6" fillId="0" borderId="0" xfId="0" applyNumberFormat="1" applyFont="1"/>
    <xf numFmtId="168" fontId="0" fillId="0" borderId="0" xfId="0" applyNumberFormat="1" applyFill="1"/>
    <xf numFmtId="165" fontId="0" fillId="0" borderId="0" xfId="2" applyNumberFormat="1" applyFont="1"/>
    <xf numFmtId="169" fontId="0" fillId="0" borderId="0" xfId="0" applyNumberFormat="1"/>
    <xf numFmtId="170" fontId="0" fillId="0" borderId="0" xfId="0" applyNumberFormat="1"/>
    <xf numFmtId="0" fontId="0" fillId="0" borderId="0" xfId="0" applyBorder="1"/>
    <xf numFmtId="9" fontId="0" fillId="0" borderId="0" xfId="0" applyNumberFormat="1" applyBorder="1"/>
    <xf numFmtId="0" fontId="0" fillId="0" borderId="0" xfId="0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9" fontId="6" fillId="0" borderId="0" xfId="0" applyNumberFormat="1" applyFont="1" applyBorder="1" applyAlignment="1">
      <alignment horizontal="left" indent="1"/>
    </xf>
    <xf numFmtId="43" fontId="6" fillId="0" borderId="0" xfId="0" applyNumberFormat="1" applyFont="1" applyAlignment="1">
      <alignment horizontal="right"/>
    </xf>
    <xf numFmtId="0" fontId="7" fillId="0" borderId="0" xfId="0" applyFont="1"/>
    <xf numFmtId="171" fontId="0" fillId="0" borderId="0" xfId="0" applyNumberFormat="1"/>
    <xf numFmtId="166" fontId="0" fillId="0" borderId="0" xfId="1" applyNumberFormat="1" applyFont="1" applyAlignment="1"/>
    <xf numFmtId="165" fontId="0" fillId="0" borderId="0" xfId="1" applyNumberFormat="1" applyFont="1" applyBorder="1"/>
    <xf numFmtId="3" fontId="0" fillId="0" borderId="0" xfId="0" applyNumberFormat="1"/>
    <xf numFmtId="2" fontId="0" fillId="0" borderId="0" xfId="0" applyNumberFormat="1"/>
    <xf numFmtId="9" fontId="4" fillId="0" borderId="0" xfId="0" applyNumberFormat="1" applyFont="1" applyBorder="1"/>
    <xf numFmtId="165" fontId="0" fillId="0" borderId="0" xfId="1" applyNumberFormat="1" applyFont="1"/>
    <xf numFmtId="0" fontId="4" fillId="0" borderId="0" xfId="0" applyFont="1"/>
    <xf numFmtId="0" fontId="0" fillId="0" borderId="4" xfId="0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0" fillId="0" borderId="4" xfId="0" applyNumberFormat="1" applyBorder="1"/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2" fontId="0" fillId="0" borderId="4" xfId="0" applyNumberFormat="1" applyBorder="1"/>
    <xf numFmtId="0" fontId="0" fillId="0" borderId="2" xfId="0" applyBorder="1" applyAlignment="1">
      <alignment horizontal="center" vertical="center" wrapText="1"/>
    </xf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3" xfId="0" applyFill="1" applyBorder="1"/>
    <xf numFmtId="0" fontId="10" fillId="4" borderId="8" xfId="0" applyFont="1" applyFill="1" applyBorder="1"/>
    <xf numFmtId="165" fontId="0" fillId="0" borderId="0" xfId="0" applyNumberFormat="1" applyBorder="1"/>
    <xf numFmtId="43" fontId="0" fillId="0" borderId="0" xfId="1" applyFont="1"/>
    <xf numFmtId="2" fontId="0" fillId="0" borderId="0" xfId="0" applyNumberFormat="1" applyBorder="1"/>
    <xf numFmtId="3" fontId="0" fillId="0" borderId="0" xfId="0" applyNumberFormat="1" applyFill="1"/>
    <xf numFmtId="2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Alignment="1">
      <alignment horizontal="center"/>
    </xf>
    <xf numFmtId="44" fontId="0" fillId="0" borderId="0" xfId="2" applyFont="1"/>
    <xf numFmtId="0" fontId="9" fillId="0" borderId="0" xfId="0" applyFont="1"/>
    <xf numFmtId="0" fontId="3" fillId="0" borderId="0" xfId="0" applyFont="1" applyBorder="1" applyAlignment="1"/>
    <xf numFmtId="0" fontId="7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/>
    <xf numFmtId="44" fontId="1" fillId="0" borderId="2" xfId="2" applyFont="1" applyBorder="1" applyAlignment="1">
      <alignment horizontal="center" vertical="center" wrapText="1"/>
    </xf>
    <xf numFmtId="2" fontId="0" fillId="8" borderId="0" xfId="0" applyNumberFormat="1" applyFill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0" fontId="3" fillId="0" borderId="0" xfId="0" applyFont="1" applyAlignment="1"/>
    <xf numFmtId="0" fontId="7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0" fillId="0" borderId="16" xfId="0" applyNumberFormat="1" applyBorder="1"/>
    <xf numFmtId="0" fontId="9" fillId="0" borderId="0" xfId="0" applyFont="1" applyFill="1" applyBorder="1"/>
    <xf numFmtId="0" fontId="4" fillId="3" borderId="2" xfId="0" applyFont="1" applyFill="1" applyBorder="1" applyAlignment="1">
      <alignment horizontal="center"/>
    </xf>
    <xf numFmtId="165" fontId="0" fillId="4" borderId="0" xfId="1" applyNumberFormat="1" applyFont="1" applyFill="1"/>
    <xf numFmtId="165" fontId="7" fillId="0" borderId="0" xfId="0" applyNumberFormat="1" applyFont="1" applyFill="1" applyBorder="1"/>
    <xf numFmtId="164" fontId="0" fillId="4" borderId="0" xfId="0" applyNumberFormat="1" applyFill="1"/>
    <xf numFmtId="0" fontId="0" fillId="4" borderId="0" xfId="0" applyFill="1"/>
    <xf numFmtId="165" fontId="0" fillId="4" borderId="0" xfId="0" applyNumberFormat="1" applyFill="1"/>
    <xf numFmtId="0" fontId="11" fillId="0" borderId="0" xfId="0" applyFont="1"/>
    <xf numFmtId="2" fontId="11" fillId="0" borderId="0" xfId="0" applyNumberFormat="1" applyFont="1"/>
    <xf numFmtId="165" fontId="11" fillId="0" borderId="0" xfId="0" applyNumberFormat="1" applyFont="1" applyBorder="1"/>
    <xf numFmtId="2" fontId="0" fillId="5" borderId="0" xfId="0" applyNumberFormat="1" applyFill="1"/>
    <xf numFmtId="8" fontId="0" fillId="0" borderId="0" xfId="0" applyNumberFormat="1"/>
    <xf numFmtId="165" fontId="0" fillId="5" borderId="14" xfId="0" applyNumberFormat="1" applyFill="1" applyBorder="1"/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5" fontId="12" fillId="0" borderId="0" xfId="0" applyNumberFormat="1" applyFont="1" applyFill="1" applyBorder="1"/>
    <xf numFmtId="165" fontId="13" fillId="0" borderId="0" xfId="0" applyNumberFormat="1" applyFont="1"/>
    <xf numFmtId="0" fontId="6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4" fillId="0" borderId="0" xfId="3" applyAlignment="1">
      <alignment vertical="center"/>
    </xf>
    <xf numFmtId="0" fontId="0" fillId="0" borderId="0" xfId="0" applyAlignment="1">
      <alignment vertical="center"/>
    </xf>
    <xf numFmtId="0" fontId="14" fillId="0" borderId="0" xfId="3" applyAlignment="1"/>
    <xf numFmtId="0" fontId="0" fillId="0" borderId="0" xfId="0" applyAlignment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/>
    <xf numFmtId="0" fontId="0" fillId="0" borderId="3" xfId="0" applyBorder="1"/>
    <xf numFmtId="0" fontId="0" fillId="0" borderId="15" xfId="0" applyBorder="1"/>
    <xf numFmtId="0" fontId="7" fillId="10" borderId="0" xfId="0" applyFont="1" applyFill="1" applyBorder="1"/>
    <xf numFmtId="0" fontId="17" fillId="10" borderId="0" xfId="0" applyFont="1" applyFill="1" applyBorder="1"/>
    <xf numFmtId="2" fontId="18" fillId="10" borderId="0" xfId="0" applyNumberFormat="1" applyFont="1" applyFill="1" applyBorder="1"/>
    <xf numFmtId="0" fontId="17" fillId="10" borderId="0" xfId="4" applyFont="1" applyFill="1" applyBorder="1" applyAlignment="1">
      <alignment horizontal="left"/>
    </xf>
    <xf numFmtId="1" fontId="18" fillId="10" borderId="0" xfId="4" applyNumberFormat="1" applyFont="1" applyFill="1" applyBorder="1"/>
    <xf numFmtId="172" fontId="17" fillId="10" borderId="0" xfId="4" applyNumberFormat="1" applyFont="1" applyFill="1" applyBorder="1" applyAlignment="1">
      <alignment horizontal="left"/>
    </xf>
    <xf numFmtId="172" fontId="18" fillId="10" borderId="0" xfId="4" applyNumberFormat="1" applyFont="1" applyFill="1" applyBorder="1"/>
    <xf numFmtId="2" fontId="0" fillId="9" borderId="0" xfId="0" applyNumberFormat="1" applyFill="1" applyBorder="1"/>
    <xf numFmtId="2" fontId="0" fillId="10" borderId="0" xfId="0" applyNumberFormat="1" applyFill="1" applyBorder="1"/>
    <xf numFmtId="49" fontId="0" fillId="0" borderId="0" xfId="0" applyNumberFormat="1"/>
    <xf numFmtId="172" fontId="0" fillId="0" borderId="0" xfId="0" applyNumberFormat="1"/>
    <xf numFmtId="1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15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7"/>
  <sheetViews>
    <sheetView tabSelected="1" zoomScale="90" zoomScaleNormal="90" workbookViewId="0">
      <selection activeCell="B90" sqref="B90"/>
    </sheetView>
  </sheetViews>
  <sheetFormatPr defaultRowHeight="14.5" x14ac:dyDescent="0.35"/>
  <cols>
    <col min="1" max="1" width="14.453125" bestFit="1" customWidth="1"/>
    <col min="2" max="2" width="47.1796875" bestFit="1" customWidth="1"/>
    <col min="3" max="3" width="14" bestFit="1" customWidth="1"/>
    <col min="9" max="9" width="46.26953125" customWidth="1"/>
    <col min="10" max="10" width="12.453125" bestFit="1" customWidth="1"/>
    <col min="20" max="20" width="39" customWidth="1"/>
    <col min="21" max="21" width="12.81640625" bestFit="1" customWidth="1"/>
    <col min="40" max="40" width="10.1796875" customWidth="1"/>
    <col min="45" max="45" width="35.81640625" bestFit="1" customWidth="1"/>
    <col min="46" max="46" width="16.81640625" bestFit="1" customWidth="1"/>
  </cols>
  <sheetData>
    <row r="1" spans="1:47" ht="15" thickBot="1" x14ac:dyDescent="0.4">
      <c r="A1" s="88" t="s">
        <v>12</v>
      </c>
      <c r="B1" t="s">
        <v>109</v>
      </c>
      <c r="I1" t="s">
        <v>164</v>
      </c>
      <c r="T1" t="s">
        <v>110</v>
      </c>
    </row>
    <row r="2" spans="1:47" x14ac:dyDescent="0.35">
      <c r="K2" t="s">
        <v>111</v>
      </c>
      <c r="O2" t="s">
        <v>107</v>
      </c>
      <c r="V2" t="s">
        <v>111</v>
      </c>
      <c r="Z2" t="s">
        <v>107</v>
      </c>
      <c r="AR2" s="107"/>
      <c r="AS2" s="108"/>
      <c r="AT2" s="108"/>
      <c r="AU2" s="109"/>
    </row>
    <row r="3" spans="1:47" x14ac:dyDescent="0.35">
      <c r="B3" t="s">
        <v>112</v>
      </c>
      <c r="D3" t="s">
        <v>113</v>
      </c>
      <c r="E3" t="s">
        <v>114</v>
      </c>
      <c r="F3" t="s">
        <v>115</v>
      </c>
      <c r="G3" t="s">
        <v>116</v>
      </c>
      <c r="I3" t="s">
        <v>112</v>
      </c>
      <c r="J3" t="s">
        <v>117</v>
      </c>
      <c r="K3" t="s">
        <v>113</v>
      </c>
      <c r="L3" t="s">
        <v>114</v>
      </c>
      <c r="M3" t="s">
        <v>115</v>
      </c>
      <c r="N3" t="s">
        <v>116</v>
      </c>
      <c r="O3" t="s">
        <v>113</v>
      </c>
      <c r="P3" t="s">
        <v>114</v>
      </c>
      <c r="Q3" t="s">
        <v>115</v>
      </c>
      <c r="R3" t="s">
        <v>116</v>
      </c>
      <c r="T3" t="s">
        <v>112</v>
      </c>
      <c r="U3" t="s">
        <v>117</v>
      </c>
      <c r="V3" t="s">
        <v>113</v>
      </c>
      <c r="W3" t="s">
        <v>114</v>
      </c>
      <c r="X3" t="s">
        <v>115</v>
      </c>
      <c r="Y3" t="s">
        <v>116</v>
      </c>
      <c r="Z3" t="s">
        <v>113</v>
      </c>
      <c r="AA3" t="s">
        <v>114</v>
      </c>
      <c r="AB3" t="s">
        <v>115</v>
      </c>
      <c r="AC3" t="s">
        <v>116</v>
      </c>
      <c r="AH3" t="s">
        <v>167</v>
      </c>
      <c r="AI3" t="s">
        <v>168</v>
      </c>
      <c r="AJ3" t="s">
        <v>169</v>
      </c>
      <c r="AK3" t="s">
        <v>170</v>
      </c>
      <c r="AL3" t="s">
        <v>171</v>
      </c>
      <c r="AM3" t="s">
        <v>172</v>
      </c>
      <c r="AN3" s="126" t="s">
        <v>173</v>
      </c>
      <c r="AR3" s="110"/>
      <c r="AS3" s="78" t="s">
        <v>118</v>
      </c>
      <c r="AT3" s="26"/>
      <c r="AU3" s="111"/>
    </row>
    <row r="4" spans="1:47" x14ac:dyDescent="0.35">
      <c r="B4" t="s">
        <v>167</v>
      </c>
      <c r="D4" s="127">
        <v>-0.16970525005148723</v>
      </c>
      <c r="E4" t="s">
        <v>119</v>
      </c>
      <c r="F4" s="127">
        <v>1.0514641606119422E-2</v>
      </c>
      <c r="G4" s="127">
        <v>0</v>
      </c>
      <c r="I4" t="s">
        <v>167</v>
      </c>
      <c r="J4" t="s">
        <v>120</v>
      </c>
      <c r="K4" s="127">
        <v>-0.48541303159672466</v>
      </c>
      <c r="L4" t="s">
        <v>119</v>
      </c>
      <c r="M4" s="127">
        <v>5.0979122796735894E-2</v>
      </c>
      <c r="N4" s="130">
        <v>0</v>
      </c>
      <c r="O4" s="127">
        <v>0.39043066586842406</v>
      </c>
      <c r="P4" t="s">
        <v>119</v>
      </c>
      <c r="Q4" s="127">
        <v>4.4399109982883427E-2</v>
      </c>
      <c r="R4" s="130">
        <v>0</v>
      </c>
      <c r="T4" t="s">
        <v>167</v>
      </c>
      <c r="U4" t="s">
        <v>120</v>
      </c>
      <c r="V4" s="127">
        <v>-0.30426470122952637</v>
      </c>
      <c r="W4" t="s">
        <v>119</v>
      </c>
      <c r="X4" s="127">
        <v>1.9025488575905442E-2</v>
      </c>
      <c r="Y4">
        <v>0</v>
      </c>
      <c r="Z4" s="127">
        <v>0.21561244894954715</v>
      </c>
      <c r="AA4" t="s">
        <v>119</v>
      </c>
      <c r="AB4" s="127">
        <v>1.5837653566128571E-2</v>
      </c>
      <c r="AC4">
        <v>0</v>
      </c>
      <c r="AG4" t="s">
        <v>167</v>
      </c>
      <c r="AH4">
        <v>1</v>
      </c>
      <c r="AI4" s="127">
        <v>-0.84187360665275202</v>
      </c>
      <c r="AJ4" s="127">
        <v>-0.84797238480908399</v>
      </c>
      <c r="AK4" s="127">
        <v>-0.77484270998475502</v>
      </c>
      <c r="AL4" s="127">
        <v>-0.71367592284493697</v>
      </c>
      <c r="AM4" s="127">
        <v>-0.55478230578176102</v>
      </c>
      <c r="AN4" s="127">
        <v>0.67435987175844403</v>
      </c>
      <c r="AR4" s="110"/>
      <c r="AS4" s="26"/>
      <c r="AT4" s="28" t="s">
        <v>121</v>
      </c>
      <c r="AU4" s="111"/>
    </row>
    <row r="5" spans="1:47" x14ac:dyDescent="0.35">
      <c r="B5" t="s">
        <v>168</v>
      </c>
      <c r="D5" s="127">
        <v>0.22161233962225521</v>
      </c>
      <c r="E5" t="s">
        <v>119</v>
      </c>
      <c r="F5" s="127">
        <v>7.1530166714401919E-2</v>
      </c>
      <c r="G5" s="127">
        <v>1.9472224008285632E-3</v>
      </c>
      <c r="I5" t="s">
        <v>168</v>
      </c>
      <c r="J5" t="s">
        <v>120</v>
      </c>
      <c r="K5" s="127">
        <v>0.25698532411927016</v>
      </c>
      <c r="L5" t="s">
        <v>119</v>
      </c>
      <c r="M5" s="127">
        <v>4.824743940747854E-2</v>
      </c>
      <c r="N5" s="130">
        <v>1.0017653084837264E-7</v>
      </c>
      <c r="O5" s="127">
        <v>7.4252708795677261E-2</v>
      </c>
      <c r="P5" t="s">
        <v>122</v>
      </c>
      <c r="Q5" s="127">
        <v>0.10665627969975013</v>
      </c>
      <c r="R5" s="130">
        <v>0.48631176663089493</v>
      </c>
      <c r="T5" t="s">
        <v>168</v>
      </c>
      <c r="U5" t="s">
        <v>120</v>
      </c>
      <c r="V5" s="127">
        <v>0.46056301433956781</v>
      </c>
      <c r="W5" t="s">
        <v>119</v>
      </c>
      <c r="X5" s="127">
        <v>4.5292409964896509E-2</v>
      </c>
      <c r="Y5">
        <v>0</v>
      </c>
      <c r="Z5" s="127">
        <v>0.46389619821432154</v>
      </c>
      <c r="AA5" t="s">
        <v>119</v>
      </c>
      <c r="AB5" s="127">
        <v>5.0574901668900288E-2</v>
      </c>
      <c r="AC5">
        <v>0</v>
      </c>
      <c r="AG5" t="s">
        <v>168</v>
      </c>
      <c r="AH5" s="127">
        <v>-0.84187360665275202</v>
      </c>
      <c r="AI5">
        <v>1</v>
      </c>
      <c r="AJ5" s="127">
        <v>0.99417501174122502</v>
      </c>
      <c r="AK5" s="127">
        <v>0.93835278138071299</v>
      </c>
      <c r="AL5" s="127">
        <v>0.77721646499015296</v>
      </c>
      <c r="AM5" s="127">
        <v>0.59377975736742805</v>
      </c>
      <c r="AN5" s="127">
        <v>-0.69141698945672703</v>
      </c>
      <c r="AR5" s="110"/>
      <c r="AS5" s="26"/>
      <c r="AT5" s="28" t="s">
        <v>116</v>
      </c>
      <c r="AU5" s="111"/>
    </row>
    <row r="6" spans="1:47" x14ac:dyDescent="0.35">
      <c r="B6" t="s">
        <v>169</v>
      </c>
      <c r="D6" s="127">
        <v>0.52203715343678692</v>
      </c>
      <c r="E6" t="s">
        <v>119</v>
      </c>
      <c r="F6" s="127">
        <v>7.9940087810741772E-2</v>
      </c>
      <c r="G6" s="127">
        <v>6.5613958710741827E-11</v>
      </c>
      <c r="I6" t="s">
        <v>169</v>
      </c>
      <c r="J6" t="s">
        <v>120</v>
      </c>
      <c r="K6" s="127">
        <v>0.51673601903390565</v>
      </c>
      <c r="L6" t="s">
        <v>119</v>
      </c>
      <c r="M6" s="127">
        <v>5.6844621408177462E-2</v>
      </c>
      <c r="N6" s="130">
        <v>0</v>
      </c>
      <c r="O6" s="127">
        <v>0.28342349218201301</v>
      </c>
      <c r="P6" t="s">
        <v>119</v>
      </c>
      <c r="Q6" s="127">
        <v>6.7693199617581232E-2</v>
      </c>
      <c r="R6" s="130">
        <v>2.8281178303446453E-5</v>
      </c>
      <c r="T6" t="s">
        <v>169</v>
      </c>
      <c r="U6" t="s">
        <v>120</v>
      </c>
      <c r="V6" s="127">
        <v>0.82594492227128913</v>
      </c>
      <c r="W6" t="s">
        <v>119</v>
      </c>
      <c r="X6" s="127">
        <v>6.6830882423758023E-2</v>
      </c>
      <c r="Y6">
        <v>0</v>
      </c>
      <c r="Z6" s="127">
        <v>0.85033103948452116</v>
      </c>
      <c r="AA6" t="s">
        <v>119</v>
      </c>
      <c r="AB6" s="127">
        <v>6.7137235149171415E-2</v>
      </c>
      <c r="AC6">
        <v>0</v>
      </c>
      <c r="AG6" t="s">
        <v>169</v>
      </c>
      <c r="AH6" s="127">
        <v>-0.84797238480908399</v>
      </c>
      <c r="AI6" s="127">
        <v>0.99417501174122502</v>
      </c>
      <c r="AJ6">
        <v>1</v>
      </c>
      <c r="AK6">
        <v>0.93956170683460905</v>
      </c>
      <c r="AL6">
        <v>0.77488596778108998</v>
      </c>
      <c r="AM6">
        <v>0.55779173273142801</v>
      </c>
      <c r="AN6">
        <v>-0.67164804521456101</v>
      </c>
      <c r="AR6" s="110"/>
      <c r="AS6" t="s">
        <v>167</v>
      </c>
      <c r="AT6" s="124">
        <v>0.64172887268956202</v>
      </c>
      <c r="AU6" s="111"/>
    </row>
    <row r="7" spans="1:47" x14ac:dyDescent="0.35">
      <c r="B7" t="s">
        <v>170</v>
      </c>
      <c r="D7" s="127">
        <v>0.59335954286569192</v>
      </c>
      <c r="E7" t="s">
        <v>119</v>
      </c>
      <c r="F7" s="127">
        <v>7.092302113455258E-2</v>
      </c>
      <c r="G7" s="127">
        <v>0</v>
      </c>
      <c r="I7" t="s">
        <v>170</v>
      </c>
      <c r="J7" t="s">
        <v>120</v>
      </c>
      <c r="K7" s="127">
        <v>0.57327678477233046</v>
      </c>
      <c r="L7" t="s">
        <v>119</v>
      </c>
      <c r="M7" s="127">
        <v>6.1433751714445414E-2</v>
      </c>
      <c r="N7" s="130">
        <v>0</v>
      </c>
      <c r="O7" s="127">
        <v>0.61151562634337775</v>
      </c>
      <c r="P7" t="s">
        <v>119</v>
      </c>
      <c r="Q7" s="127">
        <v>6.2621988559254521E-2</v>
      </c>
      <c r="R7" s="130">
        <v>0</v>
      </c>
      <c r="T7" t="s">
        <v>170</v>
      </c>
      <c r="U7" t="s">
        <v>120</v>
      </c>
      <c r="V7" s="127">
        <v>0.80044565076420227</v>
      </c>
      <c r="W7" t="s">
        <v>119</v>
      </c>
      <c r="X7" s="127">
        <v>6.6575878599975172E-2</v>
      </c>
      <c r="Y7">
        <v>0</v>
      </c>
      <c r="Z7" s="127">
        <v>1.0525311821842613</v>
      </c>
      <c r="AA7" t="s">
        <v>119</v>
      </c>
      <c r="AB7" s="127">
        <v>6.7947458170541708E-2</v>
      </c>
      <c r="AC7">
        <v>0</v>
      </c>
      <c r="AG7" t="s">
        <v>170</v>
      </c>
      <c r="AH7" s="127">
        <v>-0.77484270998475402</v>
      </c>
      <c r="AI7" s="127">
        <v>0.93835278138071299</v>
      </c>
      <c r="AJ7" s="127">
        <v>0.93956170683460905</v>
      </c>
      <c r="AK7">
        <v>1</v>
      </c>
      <c r="AL7">
        <v>0.73846028121975205</v>
      </c>
      <c r="AM7">
        <v>0.593317187761355</v>
      </c>
      <c r="AN7">
        <v>-0.65888847257441596</v>
      </c>
      <c r="AR7" s="110"/>
      <c r="AS7" t="s">
        <v>168</v>
      </c>
      <c r="AT7" s="124">
        <v>0.46650912042342901</v>
      </c>
      <c r="AU7" s="111"/>
    </row>
    <row r="8" spans="1:47" x14ac:dyDescent="0.35">
      <c r="B8" t="s">
        <v>171</v>
      </c>
      <c r="D8" s="127">
        <v>0.65477821409464809</v>
      </c>
      <c r="E8" t="s">
        <v>119</v>
      </c>
      <c r="F8" s="127">
        <v>6.1474163978827677E-2</v>
      </c>
      <c r="G8" s="127">
        <v>0</v>
      </c>
      <c r="I8" t="s">
        <v>171</v>
      </c>
      <c r="J8" t="s">
        <v>120</v>
      </c>
      <c r="K8" s="127">
        <v>0.56296498044468801</v>
      </c>
      <c r="L8" t="s">
        <v>119</v>
      </c>
      <c r="M8" s="127">
        <v>4.7118736080394831E-2</v>
      </c>
      <c r="N8" s="130">
        <v>0</v>
      </c>
      <c r="O8" s="127">
        <v>0.64517994560729974</v>
      </c>
      <c r="P8" t="s">
        <v>119</v>
      </c>
      <c r="Q8" s="127">
        <v>6.3812986907665958E-2</v>
      </c>
      <c r="R8" s="130">
        <v>0</v>
      </c>
      <c r="T8" t="s">
        <v>171</v>
      </c>
      <c r="U8" t="s">
        <v>120</v>
      </c>
      <c r="V8" s="127">
        <v>0.88401273137161729</v>
      </c>
      <c r="W8" t="s">
        <v>119</v>
      </c>
      <c r="X8" s="127">
        <v>6.2624170603714099E-2</v>
      </c>
      <c r="Y8">
        <v>0</v>
      </c>
      <c r="Z8" s="127">
        <v>0.9789166011597692</v>
      </c>
      <c r="AA8" t="s">
        <v>119</v>
      </c>
      <c r="AB8" s="127">
        <v>6.2791541705153511E-2</v>
      </c>
      <c r="AC8">
        <v>0</v>
      </c>
      <c r="AG8" t="s">
        <v>171</v>
      </c>
      <c r="AH8" s="127">
        <v>-0.71367592284493697</v>
      </c>
      <c r="AI8" s="127">
        <v>0.77721646499015296</v>
      </c>
      <c r="AJ8" s="127">
        <v>0.77488596778108998</v>
      </c>
      <c r="AK8">
        <v>0.73846028121975105</v>
      </c>
      <c r="AL8">
        <v>1</v>
      </c>
      <c r="AM8">
        <v>0.91221104720784396</v>
      </c>
      <c r="AN8" s="127">
        <v>-0.914030902493293</v>
      </c>
      <c r="AR8" s="110"/>
      <c r="AS8" t="s">
        <v>169</v>
      </c>
      <c r="AT8" s="124">
        <v>0.21951426147917899</v>
      </c>
      <c r="AU8" s="111"/>
    </row>
    <row r="9" spans="1:47" x14ac:dyDescent="0.35">
      <c r="B9" t="s">
        <v>172</v>
      </c>
      <c r="D9" s="127">
        <v>0.447340844436109</v>
      </c>
      <c r="E9" t="s">
        <v>119</v>
      </c>
      <c r="F9" s="127">
        <v>6.3221981496478313E-2</v>
      </c>
      <c r="G9" s="127">
        <v>1.4868106745780096E-12</v>
      </c>
      <c r="I9" t="s">
        <v>172</v>
      </c>
      <c r="J9" t="s">
        <v>120</v>
      </c>
      <c r="K9" s="127">
        <v>0.36084059218095749</v>
      </c>
      <c r="L9" t="s">
        <v>119</v>
      </c>
      <c r="M9" s="127">
        <v>3.9569661440455421E-2</v>
      </c>
      <c r="N9" s="130">
        <v>0</v>
      </c>
      <c r="O9" s="127">
        <v>0.26130796647637788</v>
      </c>
      <c r="P9" t="s">
        <v>119</v>
      </c>
      <c r="Q9" s="127">
        <v>6.6615933320809742E-2</v>
      </c>
      <c r="R9" s="130">
        <v>8.7596843450388207E-5</v>
      </c>
      <c r="T9" t="s">
        <v>172</v>
      </c>
      <c r="U9" t="s">
        <v>120</v>
      </c>
      <c r="V9" s="127">
        <v>0.58157772980394085</v>
      </c>
      <c r="W9" t="s">
        <v>119</v>
      </c>
      <c r="X9" s="127">
        <v>5.2227747384471959E-2</v>
      </c>
      <c r="Y9">
        <v>0</v>
      </c>
      <c r="Z9" s="127">
        <v>0.59858848419999799</v>
      </c>
      <c r="AA9" t="s">
        <v>119</v>
      </c>
      <c r="AB9" s="127">
        <v>4.1118770333051502E-2</v>
      </c>
      <c r="AC9">
        <v>0</v>
      </c>
      <c r="AG9" t="s">
        <v>172</v>
      </c>
      <c r="AH9" s="127">
        <v>-0.55478230578176102</v>
      </c>
      <c r="AI9" s="127">
        <v>0.59377975736742805</v>
      </c>
      <c r="AJ9" s="127">
        <v>0.55779173273142801</v>
      </c>
      <c r="AK9">
        <v>0.593317187761355</v>
      </c>
      <c r="AL9">
        <v>0.91221104720784396</v>
      </c>
      <c r="AM9">
        <v>1</v>
      </c>
      <c r="AN9">
        <v>-0.93039458427663602</v>
      </c>
      <c r="AR9" s="110"/>
      <c r="AS9" t="s">
        <v>170</v>
      </c>
      <c r="AT9" s="125">
        <v>3.4119472083141297E-2</v>
      </c>
      <c r="AU9" s="111"/>
    </row>
    <row r="10" spans="1:47" x14ac:dyDescent="0.35">
      <c r="B10" s="126" t="s">
        <v>173</v>
      </c>
      <c r="D10" s="127">
        <v>0.99326853814382243</v>
      </c>
      <c r="E10" t="s">
        <v>119</v>
      </c>
      <c r="F10" s="127">
        <v>4.3931707296952859E-2</v>
      </c>
      <c r="G10" s="127">
        <v>0</v>
      </c>
      <c r="I10" s="126" t="s">
        <v>173</v>
      </c>
      <c r="J10" t="s">
        <v>123</v>
      </c>
      <c r="K10" s="127">
        <v>0.77905801225818205</v>
      </c>
      <c r="L10" t="s">
        <v>119</v>
      </c>
      <c r="M10" s="127">
        <v>0.10144738897317658</v>
      </c>
      <c r="N10" s="130">
        <v>1.5987211554602254E-14</v>
      </c>
      <c r="O10" s="127">
        <v>1.2081181320248109</v>
      </c>
      <c r="P10" t="s">
        <v>119</v>
      </c>
      <c r="Q10" s="127">
        <v>0.12583829556696915</v>
      </c>
      <c r="R10" s="130">
        <v>0</v>
      </c>
      <c r="T10" s="126" t="s">
        <v>173</v>
      </c>
      <c r="U10" t="s">
        <v>123</v>
      </c>
      <c r="V10" s="127">
        <v>1.2773867004734014</v>
      </c>
      <c r="W10" t="s">
        <v>119</v>
      </c>
      <c r="X10" s="127">
        <v>0.12552646439823259</v>
      </c>
      <c r="Y10">
        <v>0</v>
      </c>
      <c r="Z10" s="127">
        <v>1.8279789742288042</v>
      </c>
      <c r="AA10" t="s">
        <v>119</v>
      </c>
      <c r="AB10" s="127">
        <v>0.17784526102601597</v>
      </c>
      <c r="AC10">
        <v>0</v>
      </c>
      <c r="AG10" s="126" t="s">
        <v>173</v>
      </c>
      <c r="AH10" s="127">
        <v>0.67435987175844403</v>
      </c>
      <c r="AI10" s="127">
        <v>-0.69141698945672603</v>
      </c>
      <c r="AJ10" s="127">
        <v>-0.67164804521456101</v>
      </c>
      <c r="AK10" s="127">
        <v>-0.65888847257441596</v>
      </c>
      <c r="AL10" s="127">
        <v>-0.914030902493293</v>
      </c>
      <c r="AM10" s="127">
        <v>-0.93039458427663602</v>
      </c>
      <c r="AN10">
        <v>1</v>
      </c>
      <c r="AR10" s="110"/>
      <c r="AS10" t="s">
        <v>171</v>
      </c>
      <c r="AT10" s="125">
        <v>1.4396868719069899E-2</v>
      </c>
      <c r="AU10" s="111"/>
    </row>
    <row r="11" spans="1:47" x14ac:dyDescent="0.35">
      <c r="AR11" s="110"/>
      <c r="AS11" t="s">
        <v>172</v>
      </c>
      <c r="AT11" s="124">
        <v>0.80684991433753905</v>
      </c>
      <c r="AU11" s="111"/>
    </row>
    <row r="12" spans="1:47" ht="15" thickBot="1" x14ac:dyDescent="0.4">
      <c r="B12" t="s">
        <v>124</v>
      </c>
      <c r="I12" t="s">
        <v>124</v>
      </c>
      <c r="T12" t="s">
        <v>124</v>
      </c>
      <c r="AR12" s="112"/>
      <c r="AS12" s="7"/>
      <c r="AT12" s="7"/>
      <c r="AU12" s="113"/>
    </row>
    <row r="13" spans="1:47" x14ac:dyDescent="0.35">
      <c r="B13" t="s">
        <v>125</v>
      </c>
      <c r="C13" s="37">
        <v>-3040.8083499282966</v>
      </c>
      <c r="I13" t="s">
        <v>125</v>
      </c>
      <c r="J13" s="37">
        <v>-2441.8527283485487</v>
      </c>
      <c r="T13" t="s">
        <v>125</v>
      </c>
      <c r="U13" s="37">
        <v>-2287.9081617749916</v>
      </c>
    </row>
    <row r="14" spans="1:47" x14ac:dyDescent="0.35">
      <c r="B14" t="s">
        <v>126</v>
      </c>
      <c r="C14" s="37">
        <v>-3381.0784133783231</v>
      </c>
      <c r="I14" t="s">
        <v>126</v>
      </c>
      <c r="J14" s="37">
        <v>-3381.0784133783231</v>
      </c>
      <c r="T14" t="s">
        <v>126</v>
      </c>
      <c r="U14" s="37">
        <v>-3381.0784133783231</v>
      </c>
    </row>
    <row r="15" spans="1:47" x14ac:dyDescent="0.35">
      <c r="B15" t="s">
        <v>127</v>
      </c>
      <c r="C15" s="37">
        <v>0.10063950664487364</v>
      </c>
      <c r="I15" t="s">
        <v>127</v>
      </c>
      <c r="J15" s="37">
        <v>0.27778879108908749</v>
      </c>
      <c r="T15" t="s">
        <v>127</v>
      </c>
      <c r="U15" s="37">
        <v>0.32331999378596255</v>
      </c>
    </row>
    <row r="16" spans="1:47" x14ac:dyDescent="0.35">
      <c r="B16" t="s">
        <v>128</v>
      </c>
      <c r="C16" s="37">
        <v>0.45702722375747323</v>
      </c>
      <c r="I16" t="s">
        <v>128</v>
      </c>
      <c r="J16" s="37">
        <v>0.52693855463757788</v>
      </c>
      <c r="T16" t="s">
        <v>128</v>
      </c>
      <c r="U16" s="37">
        <v>0.54877379127155179</v>
      </c>
    </row>
    <row r="17" spans="1:48" x14ac:dyDescent="0.35">
      <c r="B17" t="s">
        <v>129</v>
      </c>
      <c r="C17" s="37">
        <v>1.712251881982189</v>
      </c>
      <c r="I17" t="s">
        <v>129</v>
      </c>
      <c r="J17" s="37">
        <v>1.3796925440160386</v>
      </c>
      <c r="T17" t="s">
        <v>129</v>
      </c>
      <c r="U17" s="37">
        <v>1.3050045852668493</v>
      </c>
    </row>
    <row r="18" spans="1:48" x14ac:dyDescent="0.35">
      <c r="B18" t="s">
        <v>130</v>
      </c>
      <c r="C18" s="37">
        <v>1.7243986827594144</v>
      </c>
      <c r="I18" t="s">
        <v>130</v>
      </c>
      <c r="J18" s="37">
        <v>1.4039861455704894</v>
      </c>
      <c r="T18" t="s">
        <v>130</v>
      </c>
      <c r="U18" s="37">
        <v>1.3657385891529765</v>
      </c>
    </row>
    <row r="19" spans="1:48" x14ac:dyDescent="0.35">
      <c r="B19" t="s">
        <v>131</v>
      </c>
      <c r="C19" s="128">
        <v>3560</v>
      </c>
      <c r="I19" t="s">
        <v>131</v>
      </c>
      <c r="J19">
        <v>3560</v>
      </c>
      <c r="T19" t="s">
        <v>131</v>
      </c>
      <c r="U19">
        <v>3560</v>
      </c>
    </row>
    <row r="20" spans="1:48" x14ac:dyDescent="0.35">
      <c r="B20" t="s">
        <v>132</v>
      </c>
      <c r="C20" s="128">
        <v>445</v>
      </c>
      <c r="I20" t="s">
        <v>132</v>
      </c>
      <c r="J20">
        <v>445</v>
      </c>
      <c r="T20" t="s">
        <v>132</v>
      </c>
      <c r="U20">
        <v>445</v>
      </c>
    </row>
    <row r="21" spans="1:48" x14ac:dyDescent="0.35">
      <c r="B21" t="s">
        <v>133</v>
      </c>
      <c r="C21" s="128">
        <v>7</v>
      </c>
      <c r="I21" t="s">
        <v>133</v>
      </c>
      <c r="J21">
        <v>14</v>
      </c>
      <c r="T21" t="s">
        <v>133</v>
      </c>
      <c r="U21">
        <v>35</v>
      </c>
    </row>
    <row r="22" spans="1:48" x14ac:dyDescent="0.35">
      <c r="B22" t="s">
        <v>134</v>
      </c>
    </row>
    <row r="23" spans="1:48" x14ac:dyDescent="0.35">
      <c r="B23" t="s">
        <v>135</v>
      </c>
      <c r="C23" t="s">
        <v>136</v>
      </c>
      <c r="I23" t="s">
        <v>135</v>
      </c>
      <c r="J23" t="s">
        <v>137</v>
      </c>
      <c r="T23" t="s">
        <v>135</v>
      </c>
      <c r="U23" t="s">
        <v>137</v>
      </c>
    </row>
    <row r="24" spans="1:48" x14ac:dyDescent="0.35">
      <c r="B24" t="s">
        <v>138</v>
      </c>
      <c r="C24" t="s">
        <v>139</v>
      </c>
      <c r="I24" t="s">
        <v>140</v>
      </c>
      <c r="J24" t="s">
        <v>141</v>
      </c>
      <c r="T24" t="s">
        <v>140</v>
      </c>
      <c r="U24" s="114" t="s">
        <v>141</v>
      </c>
    </row>
    <row r="25" spans="1:48" x14ac:dyDescent="0.35">
      <c r="B25" t="s">
        <v>142</v>
      </c>
      <c r="C25" t="s">
        <v>143</v>
      </c>
      <c r="I25" t="s">
        <v>138</v>
      </c>
      <c r="J25" t="s">
        <v>139</v>
      </c>
      <c r="T25" t="s">
        <v>138</v>
      </c>
      <c r="U25" t="s">
        <v>139</v>
      </c>
    </row>
    <row r="26" spans="1:48" x14ac:dyDescent="0.35">
      <c r="B26" t="s">
        <v>144</v>
      </c>
      <c r="C26" t="s">
        <v>145</v>
      </c>
      <c r="I26" t="s">
        <v>142</v>
      </c>
      <c r="J26" t="s">
        <v>143</v>
      </c>
      <c r="T26" t="s">
        <v>142</v>
      </c>
      <c r="U26" t="s">
        <v>143</v>
      </c>
    </row>
    <row r="27" spans="1:48" x14ac:dyDescent="0.35">
      <c r="I27" t="s">
        <v>144</v>
      </c>
      <c r="J27" t="s">
        <v>145</v>
      </c>
      <c r="T27" t="s">
        <v>144</v>
      </c>
      <c r="U27" t="s">
        <v>145</v>
      </c>
    </row>
    <row r="32" spans="1:48" x14ac:dyDescent="0.3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26"/>
      <c r="AP32" s="26"/>
      <c r="AQ32" s="26"/>
      <c r="AR32" s="26"/>
      <c r="AS32" s="26"/>
      <c r="AT32" s="26"/>
      <c r="AU32" s="26"/>
      <c r="AV32" s="26"/>
    </row>
    <row r="33" spans="1:41" x14ac:dyDescent="0.35">
      <c r="AO33" s="116"/>
    </row>
    <row r="34" spans="1:41" x14ac:dyDescent="0.35">
      <c r="A34" s="88" t="s">
        <v>13</v>
      </c>
      <c r="B34" t="s">
        <v>109</v>
      </c>
      <c r="I34" t="s">
        <v>164</v>
      </c>
      <c r="T34" t="s">
        <v>110</v>
      </c>
    </row>
    <row r="35" spans="1:41" x14ac:dyDescent="0.35">
      <c r="K35" t="s">
        <v>111</v>
      </c>
      <c r="O35" t="s">
        <v>107</v>
      </c>
      <c r="V35" t="s">
        <v>111</v>
      </c>
      <c r="Z35" t="s">
        <v>107</v>
      </c>
    </row>
    <row r="36" spans="1:41" x14ac:dyDescent="0.35">
      <c r="B36" t="s">
        <v>112</v>
      </c>
      <c r="D36" t="s">
        <v>113</v>
      </c>
      <c r="E36" t="s">
        <v>114</v>
      </c>
      <c r="F36" t="s">
        <v>115</v>
      </c>
      <c r="G36" t="s">
        <v>116</v>
      </c>
      <c r="I36" t="s">
        <v>112</v>
      </c>
      <c r="J36" t="s">
        <v>117</v>
      </c>
      <c r="K36" t="s">
        <v>113</v>
      </c>
      <c r="L36" t="s">
        <v>114</v>
      </c>
      <c r="M36" t="s">
        <v>115</v>
      </c>
      <c r="N36" t="s">
        <v>116</v>
      </c>
      <c r="O36" t="s">
        <v>113</v>
      </c>
      <c r="P36" t="s">
        <v>114</v>
      </c>
      <c r="Q36" t="s">
        <v>115</v>
      </c>
      <c r="R36" t="s">
        <v>116</v>
      </c>
      <c r="T36" t="s">
        <v>112</v>
      </c>
      <c r="U36" t="s">
        <v>117</v>
      </c>
      <c r="V36" t="s">
        <v>113</v>
      </c>
      <c r="W36" t="s">
        <v>114</v>
      </c>
      <c r="X36" t="s">
        <v>115</v>
      </c>
      <c r="Y36" t="s">
        <v>116</v>
      </c>
      <c r="Z36" t="s">
        <v>113</v>
      </c>
      <c r="AA36" t="s">
        <v>114</v>
      </c>
      <c r="AB36" t="s">
        <v>115</v>
      </c>
      <c r="AC36" t="s">
        <v>116</v>
      </c>
      <c r="AH36" t="s">
        <v>167</v>
      </c>
      <c r="AI36" t="s">
        <v>168</v>
      </c>
      <c r="AJ36" t="s">
        <v>169</v>
      </c>
      <c r="AK36" t="s">
        <v>170</v>
      </c>
      <c r="AL36" t="s">
        <v>171</v>
      </c>
      <c r="AM36" t="s">
        <v>172</v>
      </c>
      <c r="AN36" s="126" t="s">
        <v>173</v>
      </c>
    </row>
    <row r="37" spans="1:41" x14ac:dyDescent="0.35">
      <c r="B37" t="s">
        <v>167</v>
      </c>
      <c r="D37" s="127">
        <v>-0.1293644151386367</v>
      </c>
      <c r="E37" t="s">
        <v>119</v>
      </c>
      <c r="F37" s="127">
        <v>1.1021502217405043E-2</v>
      </c>
      <c r="G37" s="127">
        <v>0</v>
      </c>
      <c r="I37" t="s">
        <v>167</v>
      </c>
      <c r="J37" t="s">
        <v>120</v>
      </c>
      <c r="K37" s="127">
        <v>-0.497874959508467</v>
      </c>
      <c r="L37" t="s">
        <v>119</v>
      </c>
      <c r="M37" s="127">
        <v>4.1628756936600293E-2</v>
      </c>
      <c r="N37" s="130">
        <v>0</v>
      </c>
      <c r="O37" s="127">
        <v>0.44240729490342229</v>
      </c>
      <c r="P37" t="s">
        <v>119</v>
      </c>
      <c r="Q37">
        <v>3.9106528704800803E-2</v>
      </c>
      <c r="R37" s="127">
        <v>0</v>
      </c>
      <c r="T37" t="s">
        <v>167</v>
      </c>
      <c r="U37" t="s">
        <v>120</v>
      </c>
      <c r="V37" s="127">
        <v>-0.31633926278855201</v>
      </c>
      <c r="W37" t="s">
        <v>119</v>
      </c>
      <c r="X37" s="127">
        <v>1.76489588458482E-2</v>
      </c>
      <c r="Y37">
        <v>0</v>
      </c>
      <c r="Z37" s="127">
        <v>0.27558563922757023</v>
      </c>
      <c r="AA37" t="s">
        <v>119</v>
      </c>
      <c r="AB37" s="127">
        <v>1.79182862121492E-2</v>
      </c>
      <c r="AC37">
        <v>0</v>
      </c>
      <c r="AG37" t="s">
        <v>167</v>
      </c>
      <c r="AH37">
        <v>1</v>
      </c>
      <c r="AI37" s="127">
        <v>-0.89820216456020197</v>
      </c>
      <c r="AJ37" s="127">
        <v>-0.90643807908100205</v>
      </c>
      <c r="AK37" s="127">
        <v>-0.89930557420016</v>
      </c>
      <c r="AL37" s="127">
        <v>-0.89205464884438501</v>
      </c>
      <c r="AM37" s="127">
        <v>-0.781468862025405</v>
      </c>
      <c r="AN37" s="127">
        <v>0.73495839858807399</v>
      </c>
    </row>
    <row r="38" spans="1:41" x14ac:dyDescent="0.35">
      <c r="B38" t="s">
        <v>168</v>
      </c>
      <c r="D38" s="127">
        <v>0.20482536706345919</v>
      </c>
      <c r="E38" t="s">
        <v>146</v>
      </c>
      <c r="F38" s="127">
        <v>8.8669805569169091E-2</v>
      </c>
      <c r="G38" s="127">
        <v>2.0889330349609159E-2</v>
      </c>
      <c r="I38" t="s">
        <v>168</v>
      </c>
      <c r="J38" t="s">
        <v>120</v>
      </c>
      <c r="K38" s="127">
        <v>0.24713071738461234</v>
      </c>
      <c r="L38" t="s">
        <v>119</v>
      </c>
      <c r="M38" s="127">
        <v>5.1996838083397064E-2</v>
      </c>
      <c r="N38" s="130">
        <v>2.006160006784441E-6</v>
      </c>
      <c r="O38" s="127">
        <v>1.6169965569713981E-3</v>
      </c>
      <c r="P38" t="s">
        <v>122</v>
      </c>
      <c r="Q38">
        <v>5.3187541656999841E-2</v>
      </c>
      <c r="R38" s="127">
        <v>0.97574661603038582</v>
      </c>
      <c r="T38" t="s">
        <v>168</v>
      </c>
      <c r="U38" t="s">
        <v>120</v>
      </c>
      <c r="V38" s="127">
        <v>0.51088177042750016</v>
      </c>
      <c r="W38" t="s">
        <v>119</v>
      </c>
      <c r="X38" s="127">
        <v>5.2190211285842877E-2</v>
      </c>
      <c r="Y38">
        <v>0</v>
      </c>
      <c r="Z38" s="127">
        <v>0.58752204372867045</v>
      </c>
      <c r="AA38" t="s">
        <v>119</v>
      </c>
      <c r="AB38" s="127">
        <v>5.2845596978039998E-2</v>
      </c>
      <c r="AC38">
        <v>0</v>
      </c>
      <c r="AG38" t="s">
        <v>168</v>
      </c>
      <c r="AH38" s="127">
        <v>-0.89820216456020197</v>
      </c>
      <c r="AI38">
        <v>1</v>
      </c>
      <c r="AJ38" s="127">
        <v>0.99256094561524</v>
      </c>
      <c r="AK38" s="127">
        <v>0.96804619515942603</v>
      </c>
      <c r="AL38" s="127">
        <v>0.81373909245102405</v>
      </c>
      <c r="AM38" s="127">
        <v>0.66264851999126795</v>
      </c>
      <c r="AN38" s="127">
        <v>-0.55641986006175204</v>
      </c>
    </row>
    <row r="39" spans="1:41" x14ac:dyDescent="0.35">
      <c r="B39" t="s">
        <v>169</v>
      </c>
      <c r="D39" s="127">
        <v>0.68385126574575306</v>
      </c>
      <c r="E39" t="s">
        <v>119</v>
      </c>
      <c r="F39" s="127">
        <v>9.7468869878468534E-2</v>
      </c>
      <c r="G39" s="127">
        <v>2.2815083156046967E-12</v>
      </c>
      <c r="I39" t="s">
        <v>169</v>
      </c>
      <c r="J39" t="s">
        <v>120</v>
      </c>
      <c r="K39" s="127">
        <v>0.57623308915886495</v>
      </c>
      <c r="L39" t="s">
        <v>119</v>
      </c>
      <c r="M39" s="127">
        <v>7.1262346152132963E-2</v>
      </c>
      <c r="N39" s="130">
        <v>6.6613381477509392E-16</v>
      </c>
      <c r="O39" s="127">
        <v>0.45933966878208005</v>
      </c>
      <c r="P39" t="s">
        <v>119</v>
      </c>
      <c r="Q39">
        <v>7.9784209514356899E-2</v>
      </c>
      <c r="R39" s="127">
        <v>8.5482376732670673E-9</v>
      </c>
      <c r="T39" t="s">
        <v>169</v>
      </c>
      <c r="U39" t="s">
        <v>120</v>
      </c>
      <c r="V39" s="127">
        <v>0.97161851558896029</v>
      </c>
      <c r="W39" t="s">
        <v>119</v>
      </c>
      <c r="X39" s="127">
        <v>9.8030797662939026E-2</v>
      </c>
      <c r="Y39">
        <v>0</v>
      </c>
      <c r="Z39" s="127">
        <v>1.3666425687381267</v>
      </c>
      <c r="AA39" t="s">
        <v>119</v>
      </c>
      <c r="AB39" s="127">
        <v>0.10681528110938592</v>
      </c>
      <c r="AC39">
        <v>0</v>
      </c>
      <c r="AG39" t="s">
        <v>169</v>
      </c>
      <c r="AH39" s="127">
        <v>-0.90643807908100205</v>
      </c>
      <c r="AI39" s="127">
        <v>0.99256094561524</v>
      </c>
      <c r="AJ39">
        <v>1</v>
      </c>
      <c r="AK39" s="127">
        <v>0.99103134457486297</v>
      </c>
      <c r="AL39" s="127">
        <v>0.87055854044272596</v>
      </c>
      <c r="AM39" s="127">
        <v>0.72794152312804405</v>
      </c>
      <c r="AN39" s="127">
        <v>-0.61083803440581197</v>
      </c>
    </row>
    <row r="40" spans="1:41" x14ac:dyDescent="0.35">
      <c r="B40" t="s">
        <v>170</v>
      </c>
      <c r="D40" s="127">
        <v>0.75966071455864359</v>
      </c>
      <c r="E40" t="s">
        <v>119</v>
      </c>
      <c r="F40" s="127">
        <v>8.746951553705383E-2</v>
      </c>
      <c r="G40" s="127">
        <v>0</v>
      </c>
      <c r="I40" t="s">
        <v>170</v>
      </c>
      <c r="J40" t="s">
        <v>120</v>
      </c>
      <c r="K40" s="127">
        <v>0.67496251106814631</v>
      </c>
      <c r="L40" t="s">
        <v>119</v>
      </c>
      <c r="M40" s="127">
        <v>6.0865335092102915E-2</v>
      </c>
      <c r="N40" s="130">
        <v>0</v>
      </c>
      <c r="O40" s="127">
        <v>0.49052063091134607</v>
      </c>
      <c r="P40" t="s">
        <v>119</v>
      </c>
      <c r="Q40">
        <v>6.412671832151122E-2</v>
      </c>
      <c r="R40" s="127">
        <v>2.0206059048177849E-14</v>
      </c>
      <c r="T40" t="s">
        <v>170</v>
      </c>
      <c r="U40" t="s">
        <v>120</v>
      </c>
      <c r="V40" s="127">
        <v>1.0341211647076449</v>
      </c>
      <c r="W40" t="s">
        <v>119</v>
      </c>
      <c r="X40" s="127">
        <v>8.7934390792410597E-2</v>
      </c>
      <c r="Y40">
        <v>0</v>
      </c>
      <c r="Z40" s="127">
        <v>1.4070283613383787</v>
      </c>
      <c r="AA40" t="s">
        <v>119</v>
      </c>
      <c r="AB40" s="127">
        <v>8.6993052936177429E-2</v>
      </c>
      <c r="AC40">
        <v>0</v>
      </c>
      <c r="AG40" t="s">
        <v>170</v>
      </c>
      <c r="AH40" s="127">
        <v>-0.89930557420016</v>
      </c>
      <c r="AI40" s="127">
        <v>0.96804619515942603</v>
      </c>
      <c r="AJ40" s="127">
        <v>0.99103134457486297</v>
      </c>
      <c r="AK40">
        <v>1</v>
      </c>
      <c r="AL40" s="127">
        <v>0.91204719609850304</v>
      </c>
      <c r="AM40" s="127">
        <v>0.77301210975745205</v>
      </c>
      <c r="AN40" s="127">
        <v>-0.65268159336919895</v>
      </c>
    </row>
    <row r="41" spans="1:41" x14ac:dyDescent="0.35">
      <c r="B41" t="s">
        <v>171</v>
      </c>
      <c r="D41" s="127">
        <v>1.0150130526059493</v>
      </c>
      <c r="E41" t="s">
        <v>119</v>
      </c>
      <c r="F41" s="127">
        <v>7.8118138392423528E-2</v>
      </c>
      <c r="G41" s="127">
        <v>0</v>
      </c>
      <c r="I41" t="s">
        <v>171</v>
      </c>
      <c r="J41" t="s">
        <v>120</v>
      </c>
      <c r="K41" s="127">
        <v>0.87520657178698358</v>
      </c>
      <c r="L41" t="s">
        <v>119</v>
      </c>
      <c r="M41" s="127">
        <v>5.8555361459605736E-2</v>
      </c>
      <c r="N41" s="130">
        <v>0</v>
      </c>
      <c r="O41" s="127">
        <v>0.80393787273772876</v>
      </c>
      <c r="P41" t="s">
        <v>119</v>
      </c>
      <c r="Q41">
        <v>7.4132788524478743E-2</v>
      </c>
      <c r="R41" s="127">
        <v>0</v>
      </c>
      <c r="T41" t="s">
        <v>171</v>
      </c>
      <c r="U41" t="s">
        <v>120</v>
      </c>
      <c r="V41" s="127">
        <v>1.1455638961905479</v>
      </c>
      <c r="W41" t="s">
        <v>119</v>
      </c>
      <c r="X41" s="127">
        <v>8.6608363620791079E-2</v>
      </c>
      <c r="Y41">
        <v>0</v>
      </c>
      <c r="Z41" s="127">
        <v>1.3246938860591242</v>
      </c>
      <c r="AA41" t="s">
        <v>119</v>
      </c>
      <c r="AB41" s="127">
        <v>7.5774745650222936E-2</v>
      </c>
      <c r="AC41">
        <v>0</v>
      </c>
      <c r="AG41" t="s">
        <v>171</v>
      </c>
      <c r="AH41" s="127">
        <v>-0.89205464884438501</v>
      </c>
      <c r="AI41" s="127">
        <v>0.81373909245102405</v>
      </c>
      <c r="AJ41" s="127">
        <v>0.87055854044272596</v>
      </c>
      <c r="AK41" s="127">
        <v>0.91204719609850304</v>
      </c>
      <c r="AL41">
        <v>1</v>
      </c>
      <c r="AM41" s="127">
        <v>0.95068262489594202</v>
      </c>
      <c r="AN41" s="127">
        <v>-0.85457668154799005</v>
      </c>
    </row>
    <row r="42" spans="1:41" x14ac:dyDescent="0.35">
      <c r="B42" t="s">
        <v>172</v>
      </c>
      <c r="D42" s="127">
        <v>0.48945397869467749</v>
      </c>
      <c r="E42" t="s">
        <v>119</v>
      </c>
      <c r="F42" s="127">
        <v>7.9310627826178121E-2</v>
      </c>
      <c r="G42" s="127">
        <v>6.7707528472737977E-10</v>
      </c>
      <c r="I42" t="s">
        <v>172</v>
      </c>
      <c r="J42" t="s">
        <v>120</v>
      </c>
      <c r="K42" s="127">
        <v>0.39136351621548277</v>
      </c>
      <c r="L42" t="s">
        <v>119</v>
      </c>
      <c r="M42" s="127">
        <v>3.9975033512367551E-2</v>
      </c>
      <c r="N42" s="130">
        <v>0</v>
      </c>
      <c r="O42" s="127">
        <v>0.15052523203139123</v>
      </c>
      <c r="P42" t="s">
        <v>146</v>
      </c>
      <c r="Q42">
        <v>6.4769330716447734E-2</v>
      </c>
      <c r="R42" s="127">
        <v>2.0124412165387628E-2</v>
      </c>
      <c r="T42" t="s">
        <v>172</v>
      </c>
      <c r="U42" t="s">
        <v>120</v>
      </c>
      <c r="V42" s="127">
        <v>0.56372659169200379</v>
      </c>
      <c r="W42" t="s">
        <v>119</v>
      </c>
      <c r="X42" s="127">
        <v>5.1021498196626693E-2</v>
      </c>
      <c r="Y42">
        <v>0</v>
      </c>
      <c r="Z42" s="127">
        <v>0.53437582234290804</v>
      </c>
      <c r="AA42" t="s">
        <v>119</v>
      </c>
      <c r="AB42" s="127">
        <v>4.5926412131084608E-2</v>
      </c>
      <c r="AC42">
        <v>0</v>
      </c>
      <c r="AG42" t="s">
        <v>172</v>
      </c>
      <c r="AH42" s="127">
        <v>-0.781468862025405</v>
      </c>
      <c r="AI42" s="127">
        <v>0.66264851999126795</v>
      </c>
      <c r="AJ42" s="127">
        <v>0.72794152312804405</v>
      </c>
      <c r="AK42" s="127">
        <v>0.77301210975745205</v>
      </c>
      <c r="AL42" s="127">
        <v>0.95068262489594202</v>
      </c>
      <c r="AM42">
        <v>1</v>
      </c>
      <c r="AN42" s="127">
        <v>-0.92472858346515596</v>
      </c>
    </row>
    <row r="43" spans="1:41" x14ac:dyDescent="0.35">
      <c r="B43" s="126" t="s">
        <v>173</v>
      </c>
      <c r="D43" s="127">
        <v>0.81397450126492843</v>
      </c>
      <c r="E43" t="s">
        <v>119</v>
      </c>
      <c r="F43" s="127">
        <v>4.1410991312728018E-2</v>
      </c>
      <c r="G43" s="127">
        <v>0</v>
      </c>
      <c r="I43" s="126" t="s">
        <v>173</v>
      </c>
      <c r="J43" t="s">
        <v>123</v>
      </c>
      <c r="K43" s="127">
        <v>0.70916703735190534</v>
      </c>
      <c r="L43" t="s">
        <v>119</v>
      </c>
      <c r="M43" s="127">
        <v>0.10652125483273722</v>
      </c>
      <c r="N43" s="130">
        <v>2.7849278438907277E-11</v>
      </c>
      <c r="O43" s="127">
        <v>1.319037282447634</v>
      </c>
      <c r="P43" t="s">
        <v>119</v>
      </c>
      <c r="Q43">
        <v>0.13233732558083258</v>
      </c>
      <c r="R43" s="127">
        <v>0</v>
      </c>
      <c r="T43" s="126" t="s">
        <v>173</v>
      </c>
      <c r="U43" t="s">
        <v>123</v>
      </c>
      <c r="V43" s="127">
        <v>1.3989722649000436</v>
      </c>
      <c r="W43" t="s">
        <v>119</v>
      </c>
      <c r="X43" s="127">
        <v>0.1367916055750095</v>
      </c>
      <c r="Y43">
        <v>0</v>
      </c>
      <c r="Z43" s="127">
        <v>2.1352204129078616</v>
      </c>
      <c r="AA43" t="s">
        <v>119</v>
      </c>
      <c r="AB43" s="127">
        <v>0.17768847969881785</v>
      </c>
      <c r="AC43">
        <v>0</v>
      </c>
      <c r="AG43" s="126" t="s">
        <v>173</v>
      </c>
      <c r="AH43" s="127">
        <v>0.73495839858807399</v>
      </c>
      <c r="AI43" s="127">
        <v>-0.55641986006175204</v>
      </c>
      <c r="AJ43" s="127">
        <v>-0.61083803440581197</v>
      </c>
      <c r="AK43" s="127">
        <v>-0.65268159336919895</v>
      </c>
      <c r="AL43" s="127">
        <v>-0.85457668154799005</v>
      </c>
      <c r="AM43" s="127">
        <v>-0.92472858346515596</v>
      </c>
      <c r="AN43">
        <v>1</v>
      </c>
    </row>
    <row r="45" spans="1:41" x14ac:dyDescent="0.35">
      <c r="B45" t="s">
        <v>124</v>
      </c>
      <c r="I45" t="s">
        <v>124</v>
      </c>
      <c r="T45" t="s">
        <v>124</v>
      </c>
    </row>
    <row r="46" spans="1:41" x14ac:dyDescent="0.35">
      <c r="B46" t="s">
        <v>125</v>
      </c>
      <c r="C46" s="37">
        <v>-3184.4463847494731</v>
      </c>
      <c r="I46" t="s">
        <v>125</v>
      </c>
      <c r="J46" s="37">
        <v>-2406.5723843447727</v>
      </c>
      <c r="T46" t="s">
        <v>125</v>
      </c>
      <c r="U46" s="37">
        <v>-2188.5884894618966</v>
      </c>
    </row>
    <row r="47" spans="1:41" x14ac:dyDescent="0.35">
      <c r="B47" t="s">
        <v>126</v>
      </c>
      <c r="C47" s="37">
        <v>-3414.8225214101139</v>
      </c>
      <c r="I47" t="s">
        <v>126</v>
      </c>
      <c r="J47" s="37">
        <v>-3414.8225214101139</v>
      </c>
      <c r="T47" t="s">
        <v>126</v>
      </c>
      <c r="U47" s="37">
        <v>-3414.8225214101139</v>
      </c>
    </row>
    <row r="48" spans="1:41" x14ac:dyDescent="0.35">
      <c r="B48" t="s">
        <v>127</v>
      </c>
      <c r="C48" s="37">
        <v>6.746357540289083E-2</v>
      </c>
      <c r="I48" t="s">
        <v>127</v>
      </c>
      <c r="J48" s="37">
        <v>0.29525696598984452</v>
      </c>
      <c r="T48" t="s">
        <v>127</v>
      </c>
      <c r="U48" s="37">
        <v>0.35909158507068095</v>
      </c>
    </row>
    <row r="49" spans="2:21" x14ac:dyDescent="0.35">
      <c r="B49" t="s">
        <v>128</v>
      </c>
      <c r="C49" s="37">
        <v>0.41460024546946056</v>
      </c>
      <c r="I49" t="s">
        <v>128</v>
      </c>
      <c r="J49" s="37">
        <v>0.51447603593627922</v>
      </c>
      <c r="T49" t="s">
        <v>128</v>
      </c>
      <c r="U49" s="37">
        <v>0.54914574935754035</v>
      </c>
    </row>
    <row r="50" spans="2:21" x14ac:dyDescent="0.35">
      <c r="B50" t="s">
        <v>129</v>
      </c>
      <c r="C50" s="37">
        <v>1.8861976269204923</v>
      </c>
      <c r="I50" t="s">
        <v>129</v>
      </c>
      <c r="J50" s="37">
        <v>1.4305983359011658</v>
      </c>
      <c r="T50" t="s">
        <v>129</v>
      </c>
      <c r="U50" s="37">
        <v>1.3141775942446197</v>
      </c>
    </row>
    <row r="51" spans="2:21" x14ac:dyDescent="0.35">
      <c r="B51" t="s">
        <v>130</v>
      </c>
      <c r="C51" s="37">
        <v>1.8988712959645475</v>
      </c>
      <c r="I51" t="s">
        <v>130</v>
      </c>
      <c r="J51" s="37">
        <v>1.4559456739892764</v>
      </c>
      <c r="T51" t="s">
        <v>130</v>
      </c>
      <c r="U51" s="37">
        <v>1.3775459394648957</v>
      </c>
    </row>
    <row r="52" spans="2:21" x14ac:dyDescent="0.35">
      <c r="B52" t="s">
        <v>131</v>
      </c>
      <c r="C52">
        <v>3384</v>
      </c>
      <c r="I52" t="s">
        <v>131</v>
      </c>
      <c r="J52">
        <v>3384</v>
      </c>
      <c r="T52" t="s">
        <v>131</v>
      </c>
      <c r="U52">
        <v>3384</v>
      </c>
    </row>
    <row r="53" spans="2:21" x14ac:dyDescent="0.35">
      <c r="B53" t="s">
        <v>132</v>
      </c>
      <c r="C53">
        <v>423</v>
      </c>
      <c r="I53" t="s">
        <v>132</v>
      </c>
      <c r="J53">
        <v>423</v>
      </c>
      <c r="T53" t="s">
        <v>132</v>
      </c>
      <c r="U53">
        <v>423</v>
      </c>
    </row>
    <row r="54" spans="2:21" x14ac:dyDescent="0.35">
      <c r="B54" t="s">
        <v>133</v>
      </c>
      <c r="C54">
        <v>7</v>
      </c>
      <c r="I54" t="s">
        <v>133</v>
      </c>
      <c r="J54">
        <v>14</v>
      </c>
      <c r="T54" t="s">
        <v>133</v>
      </c>
      <c r="U54">
        <v>35</v>
      </c>
    </row>
    <row r="55" spans="2:21" x14ac:dyDescent="0.35">
      <c r="B55" t="s">
        <v>134</v>
      </c>
    </row>
    <row r="56" spans="2:21" x14ac:dyDescent="0.35">
      <c r="B56" t="s">
        <v>135</v>
      </c>
      <c r="C56" t="s">
        <v>136</v>
      </c>
      <c r="I56" t="s">
        <v>135</v>
      </c>
      <c r="J56" t="s">
        <v>137</v>
      </c>
      <c r="T56" t="s">
        <v>135</v>
      </c>
      <c r="U56" t="s">
        <v>137</v>
      </c>
    </row>
    <row r="57" spans="2:21" x14ac:dyDescent="0.35">
      <c r="B57" t="s">
        <v>138</v>
      </c>
      <c r="C57" t="s">
        <v>139</v>
      </c>
      <c r="I57" t="s">
        <v>140</v>
      </c>
      <c r="J57" t="s">
        <v>141</v>
      </c>
      <c r="T57" t="s">
        <v>140</v>
      </c>
      <c r="U57" s="114" t="s">
        <v>147</v>
      </c>
    </row>
    <row r="58" spans="2:21" x14ac:dyDescent="0.35">
      <c r="B58" t="s">
        <v>142</v>
      </c>
      <c r="C58" t="s">
        <v>143</v>
      </c>
      <c r="I58" t="s">
        <v>138</v>
      </c>
      <c r="J58" t="s">
        <v>139</v>
      </c>
      <c r="T58" t="s">
        <v>138</v>
      </c>
      <c r="U58" t="s">
        <v>139</v>
      </c>
    </row>
    <row r="59" spans="2:21" x14ac:dyDescent="0.35">
      <c r="B59" t="s">
        <v>144</v>
      </c>
      <c r="C59" t="s">
        <v>145</v>
      </c>
      <c r="I59" t="s">
        <v>142</v>
      </c>
      <c r="J59" t="s">
        <v>143</v>
      </c>
      <c r="T59" t="s">
        <v>142</v>
      </c>
      <c r="U59" t="s">
        <v>143</v>
      </c>
    </row>
    <row r="60" spans="2:21" x14ac:dyDescent="0.35">
      <c r="I60" t="s">
        <v>144</v>
      </c>
      <c r="J60" t="s">
        <v>145</v>
      </c>
      <c r="T60" t="s">
        <v>144</v>
      </c>
      <c r="U60" t="s">
        <v>145</v>
      </c>
    </row>
    <row r="66" spans="1:42" x14ac:dyDescent="0.3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26"/>
      <c r="AP66" s="26"/>
    </row>
    <row r="67" spans="1:42" x14ac:dyDescent="0.35">
      <c r="AO67" s="116"/>
    </row>
    <row r="68" spans="1:42" x14ac:dyDescent="0.35">
      <c r="A68" s="88" t="s">
        <v>148</v>
      </c>
      <c r="B68" t="s">
        <v>109</v>
      </c>
      <c r="I68" t="s">
        <v>164</v>
      </c>
      <c r="T68" t="s">
        <v>110</v>
      </c>
    </row>
    <row r="69" spans="1:42" x14ac:dyDescent="0.35">
      <c r="K69" t="s">
        <v>111</v>
      </c>
      <c r="O69" t="s">
        <v>107</v>
      </c>
      <c r="V69" t="s">
        <v>111</v>
      </c>
      <c r="Z69" t="s">
        <v>107</v>
      </c>
    </row>
    <row r="70" spans="1:42" x14ac:dyDescent="0.35">
      <c r="B70" t="s">
        <v>112</v>
      </c>
      <c r="D70" t="s">
        <v>113</v>
      </c>
      <c r="E70" t="s">
        <v>114</v>
      </c>
      <c r="F70" t="s">
        <v>115</v>
      </c>
      <c r="G70" t="s">
        <v>116</v>
      </c>
      <c r="I70" t="s">
        <v>112</v>
      </c>
      <c r="J70" t="s">
        <v>117</v>
      </c>
      <c r="K70" t="s">
        <v>113</v>
      </c>
      <c r="L70" t="s">
        <v>114</v>
      </c>
      <c r="M70" t="s">
        <v>115</v>
      </c>
      <c r="N70" t="s">
        <v>116</v>
      </c>
      <c r="O70" t="s">
        <v>113</v>
      </c>
      <c r="P70" t="s">
        <v>114</v>
      </c>
      <c r="Q70" t="s">
        <v>115</v>
      </c>
      <c r="R70" t="s">
        <v>116</v>
      </c>
      <c r="T70" t="s">
        <v>112</v>
      </c>
      <c r="U70" t="s">
        <v>117</v>
      </c>
      <c r="V70" t="s">
        <v>113</v>
      </c>
      <c r="W70" t="s">
        <v>114</v>
      </c>
      <c r="X70" t="s">
        <v>115</v>
      </c>
      <c r="Y70" t="s">
        <v>116</v>
      </c>
      <c r="Z70" t="s">
        <v>113</v>
      </c>
      <c r="AA70" t="s">
        <v>114</v>
      </c>
      <c r="AB70" t="s">
        <v>115</v>
      </c>
      <c r="AC70" t="s">
        <v>116</v>
      </c>
      <c r="AH70" t="s">
        <v>167</v>
      </c>
      <c r="AI70" t="s">
        <v>168</v>
      </c>
      <c r="AJ70" t="s">
        <v>169</v>
      </c>
      <c r="AK70" t="s">
        <v>170</v>
      </c>
      <c r="AL70" t="s">
        <v>171</v>
      </c>
      <c r="AM70" t="s">
        <v>172</v>
      </c>
      <c r="AN70" s="126" t="s">
        <v>173</v>
      </c>
    </row>
    <row r="71" spans="1:42" x14ac:dyDescent="0.35">
      <c r="B71" t="s">
        <v>167</v>
      </c>
      <c r="D71" s="127">
        <v>-0.15442942171368734</v>
      </c>
      <c r="E71" t="s">
        <v>119</v>
      </c>
      <c r="F71" s="127">
        <v>7.6618344611255849E-3</v>
      </c>
      <c r="G71" s="127">
        <v>0</v>
      </c>
      <c r="I71" t="s">
        <v>167</v>
      </c>
      <c r="J71" t="s">
        <v>120</v>
      </c>
      <c r="K71" s="127">
        <v>-0.48486914304315837</v>
      </c>
      <c r="L71" t="s">
        <v>119</v>
      </c>
      <c r="M71">
        <v>2.6922243690511022E-2</v>
      </c>
      <c r="N71" s="127">
        <v>0</v>
      </c>
      <c r="O71" s="127">
        <v>0.43378068869913722</v>
      </c>
      <c r="P71" t="s">
        <v>119</v>
      </c>
      <c r="Q71">
        <v>2.5356173106610695E-2</v>
      </c>
      <c r="R71" s="127">
        <v>0</v>
      </c>
      <c r="T71" t="s">
        <v>167</v>
      </c>
      <c r="U71" t="s">
        <v>120</v>
      </c>
      <c r="V71" s="127">
        <v>-0.35134491354674213</v>
      </c>
      <c r="W71" t="s">
        <v>119</v>
      </c>
      <c r="X71" s="127">
        <v>1.4992727422673722E-2</v>
      </c>
      <c r="Y71" s="127">
        <v>0</v>
      </c>
      <c r="Z71" s="127">
        <v>0.26660046407366916</v>
      </c>
      <c r="AA71" t="s">
        <v>119</v>
      </c>
      <c r="AB71" s="127">
        <v>1.3687697464012702E-2</v>
      </c>
      <c r="AC71" s="127">
        <v>0</v>
      </c>
      <c r="AG71" t="s">
        <v>167</v>
      </c>
      <c r="AH71">
        <v>1</v>
      </c>
      <c r="AI71" s="127">
        <v>-0.99702823299075105</v>
      </c>
      <c r="AJ71" s="127">
        <v>-0.96479371717590501</v>
      </c>
      <c r="AK71" s="127">
        <v>-0.921155498160799</v>
      </c>
      <c r="AL71" s="127">
        <v>-0.83045093214233301</v>
      </c>
      <c r="AM71" s="127">
        <v>-0.67695170810880501</v>
      </c>
      <c r="AN71" s="127">
        <v>0.72936297917631798</v>
      </c>
    </row>
    <row r="72" spans="1:42" x14ac:dyDescent="0.35">
      <c r="B72" t="s">
        <v>168</v>
      </c>
      <c r="D72" s="127">
        <v>0.21715672446692122</v>
      </c>
      <c r="E72" t="s">
        <v>119</v>
      </c>
      <c r="F72" s="127">
        <v>5.5689173997547053E-2</v>
      </c>
      <c r="G72" s="127">
        <v>9.6414482822160252E-5</v>
      </c>
      <c r="I72" t="s">
        <v>168</v>
      </c>
      <c r="J72" t="s">
        <v>120</v>
      </c>
      <c r="K72" s="127">
        <v>0.2364927842305552</v>
      </c>
      <c r="L72" t="s">
        <v>119</v>
      </c>
      <c r="M72">
        <v>3.2736493266664911E-2</v>
      </c>
      <c r="N72" s="127">
        <v>5.042632977847461E-13</v>
      </c>
      <c r="O72" s="127">
        <v>3.3510003511744591E-3</v>
      </c>
      <c r="P72" t="s">
        <v>122</v>
      </c>
      <c r="Q72">
        <v>4.6128968684022331E-2</v>
      </c>
      <c r="R72" s="127">
        <v>0.94208928200691444</v>
      </c>
      <c r="T72" t="s">
        <v>168</v>
      </c>
      <c r="U72" t="s">
        <v>120</v>
      </c>
      <c r="V72" s="127">
        <v>0.47764598652959045</v>
      </c>
      <c r="W72" t="s">
        <v>119</v>
      </c>
      <c r="X72" s="127">
        <v>4.3112418566000933E-2</v>
      </c>
      <c r="Y72" s="127">
        <v>0</v>
      </c>
      <c r="Z72" s="127">
        <v>0.41862423174415897</v>
      </c>
      <c r="AA72" t="s">
        <v>119</v>
      </c>
      <c r="AB72" s="127">
        <v>4.4599909213359358E-2</v>
      </c>
      <c r="AC72" s="127">
        <v>0</v>
      </c>
      <c r="AG72" t="s">
        <v>168</v>
      </c>
      <c r="AH72" s="127">
        <v>-0.99702823299075105</v>
      </c>
      <c r="AI72">
        <v>1</v>
      </c>
      <c r="AJ72" s="127">
        <v>0.96498844524872696</v>
      </c>
      <c r="AK72" s="127">
        <v>0.91773279246307704</v>
      </c>
      <c r="AL72" s="127">
        <v>0.79204801992271101</v>
      </c>
      <c r="AM72" s="127">
        <v>0.62247994329838396</v>
      </c>
      <c r="AN72" s="127">
        <v>-0.68017314591472899</v>
      </c>
    </row>
    <row r="73" spans="1:42" x14ac:dyDescent="0.35">
      <c r="B73" t="s">
        <v>169</v>
      </c>
      <c r="D73" s="127">
        <v>0.58367871504864033</v>
      </c>
      <c r="E73" t="s">
        <v>119</v>
      </c>
      <c r="F73" s="127">
        <v>6.1770258928108931E-2</v>
      </c>
      <c r="G73" s="127">
        <v>0</v>
      </c>
      <c r="I73" t="s">
        <v>169</v>
      </c>
      <c r="J73" t="s">
        <v>120</v>
      </c>
      <c r="K73" s="127">
        <v>0.51380870226136099</v>
      </c>
      <c r="L73" t="s">
        <v>119</v>
      </c>
      <c r="M73">
        <v>3.6624013092739237E-2</v>
      </c>
      <c r="N73" s="127">
        <v>0</v>
      </c>
      <c r="O73" s="127">
        <v>0.37756385273851434</v>
      </c>
      <c r="P73" t="s">
        <v>119</v>
      </c>
      <c r="Q73">
        <v>4.450959658659414E-2</v>
      </c>
      <c r="R73" s="127">
        <v>0</v>
      </c>
      <c r="T73" t="s">
        <v>169</v>
      </c>
      <c r="U73" t="s">
        <v>120</v>
      </c>
      <c r="V73" s="127">
        <v>0.89972636885501056</v>
      </c>
      <c r="W73" t="s">
        <v>119</v>
      </c>
      <c r="X73" s="127">
        <v>6.1884967370289222E-2</v>
      </c>
      <c r="Y73" s="127">
        <v>0</v>
      </c>
      <c r="Z73" s="127">
        <v>0.92453614337850887</v>
      </c>
      <c r="AA73" t="s">
        <v>119</v>
      </c>
      <c r="AB73" s="127">
        <v>5.8547978448085E-2</v>
      </c>
      <c r="AC73" s="127">
        <v>0</v>
      </c>
      <c r="AG73" t="s">
        <v>169</v>
      </c>
      <c r="AH73" s="127">
        <v>-0.96479371717590501</v>
      </c>
      <c r="AI73" s="127">
        <v>0.96498844524872696</v>
      </c>
      <c r="AJ73">
        <v>1</v>
      </c>
      <c r="AK73" s="127">
        <v>0.989152408519828</v>
      </c>
      <c r="AL73" s="127">
        <v>0.85490408035473098</v>
      </c>
      <c r="AM73" s="127">
        <v>0.66409983938349504</v>
      </c>
      <c r="AN73" s="127">
        <v>-0.68264635209848201</v>
      </c>
    </row>
    <row r="74" spans="1:42" x14ac:dyDescent="0.35">
      <c r="B74" t="s">
        <v>170</v>
      </c>
      <c r="D74" s="127">
        <v>0.65212347548441207</v>
      </c>
      <c r="E74" t="s">
        <v>119</v>
      </c>
      <c r="F74" s="127">
        <v>5.4973682854987604E-2</v>
      </c>
      <c r="G74" s="127">
        <v>0</v>
      </c>
      <c r="I74" t="s">
        <v>170</v>
      </c>
      <c r="J74" t="s">
        <v>120</v>
      </c>
      <c r="K74" s="127">
        <v>0.61538560809244491</v>
      </c>
      <c r="L74" t="s">
        <v>119</v>
      </c>
      <c r="M74">
        <v>4.0093060950178755E-2</v>
      </c>
      <c r="N74" s="127">
        <v>0</v>
      </c>
      <c r="O74" s="127">
        <v>0.53447886047595672</v>
      </c>
      <c r="P74" t="s">
        <v>119</v>
      </c>
      <c r="Q74">
        <v>3.5334130558382762E-2</v>
      </c>
      <c r="R74" s="127">
        <v>0</v>
      </c>
      <c r="T74" t="s">
        <v>170</v>
      </c>
      <c r="U74" t="s">
        <v>120</v>
      </c>
      <c r="V74" s="127">
        <v>0.92352404325533421</v>
      </c>
      <c r="W74" t="s">
        <v>119</v>
      </c>
      <c r="X74" s="127">
        <v>6.1303858432342151E-2</v>
      </c>
      <c r="Y74" s="127">
        <v>0</v>
      </c>
      <c r="Z74" s="127">
        <v>1.0294085918704814</v>
      </c>
      <c r="AA74" t="s">
        <v>119</v>
      </c>
      <c r="AB74" s="127">
        <v>5.4401199004757851E-2</v>
      </c>
      <c r="AC74" s="127">
        <v>0</v>
      </c>
      <c r="AG74" t="s">
        <v>170</v>
      </c>
      <c r="AH74" s="127">
        <v>-0.921155498160799</v>
      </c>
      <c r="AI74" s="127">
        <v>0.91773279246307704</v>
      </c>
      <c r="AJ74" s="127">
        <v>0.989152408519828</v>
      </c>
      <c r="AK74">
        <v>1</v>
      </c>
      <c r="AL74" s="127">
        <v>0.88101348488771802</v>
      </c>
      <c r="AM74" s="127">
        <v>0.68722401720766102</v>
      </c>
      <c r="AN74" s="127">
        <v>-0.68461507831378798</v>
      </c>
    </row>
    <row r="75" spans="1:42" x14ac:dyDescent="0.35">
      <c r="B75" t="s">
        <v>171</v>
      </c>
      <c r="D75" s="127">
        <v>0.78615298175727355</v>
      </c>
      <c r="E75" t="s">
        <v>119</v>
      </c>
      <c r="F75" s="127">
        <v>4.812047760809289E-2</v>
      </c>
      <c r="G75" s="127">
        <v>0</v>
      </c>
      <c r="I75" t="s">
        <v>171</v>
      </c>
      <c r="J75" t="s">
        <v>120</v>
      </c>
      <c r="K75" s="127">
        <v>0.69010313737142459</v>
      </c>
      <c r="L75" t="s">
        <v>119</v>
      </c>
      <c r="M75">
        <v>3.6698173679014609E-2</v>
      </c>
      <c r="N75" s="127">
        <v>0</v>
      </c>
      <c r="O75" s="127">
        <v>0.76768301102633651</v>
      </c>
      <c r="P75" t="s">
        <v>119</v>
      </c>
      <c r="Q75">
        <v>4.0456392395036525E-2</v>
      </c>
      <c r="R75" s="127">
        <v>0</v>
      </c>
      <c r="T75" t="s">
        <v>171</v>
      </c>
      <c r="U75" t="s">
        <v>120</v>
      </c>
      <c r="V75" s="127">
        <v>1.0519226620269093</v>
      </c>
      <c r="W75" t="s">
        <v>119</v>
      </c>
      <c r="X75" s="127">
        <v>5.4760019301644119E-2</v>
      </c>
      <c r="Y75" s="127">
        <v>0</v>
      </c>
      <c r="Z75" s="127">
        <v>1.0390461821925576</v>
      </c>
      <c r="AA75" t="s">
        <v>119</v>
      </c>
      <c r="AB75" s="127">
        <v>5.6593460918341089E-2</v>
      </c>
      <c r="AC75" s="127">
        <v>0</v>
      </c>
      <c r="AG75" t="s">
        <v>171</v>
      </c>
      <c r="AH75" s="127">
        <v>-0.83045093214233301</v>
      </c>
      <c r="AI75" s="127">
        <v>0.79204801992271101</v>
      </c>
      <c r="AJ75" s="127">
        <v>0.85490408035473098</v>
      </c>
      <c r="AK75" s="127">
        <v>0.88101348488771802</v>
      </c>
      <c r="AL75">
        <v>1</v>
      </c>
      <c r="AM75" s="127">
        <v>0.923583811021495</v>
      </c>
      <c r="AN75" s="127">
        <v>-0.90347675210732503</v>
      </c>
    </row>
    <row r="76" spans="1:42" x14ac:dyDescent="0.35">
      <c r="B76" t="s">
        <v>172</v>
      </c>
      <c r="D76" s="127">
        <v>0.45938607329348841</v>
      </c>
      <c r="E76" t="s">
        <v>119</v>
      </c>
      <c r="F76" s="127">
        <v>4.9387246470508385E-2</v>
      </c>
      <c r="G76" s="127">
        <v>0</v>
      </c>
      <c r="I76" t="s">
        <v>172</v>
      </c>
      <c r="J76" t="s">
        <v>120</v>
      </c>
      <c r="K76" s="127">
        <v>0.37548139003356823</v>
      </c>
      <c r="L76" t="s">
        <v>119</v>
      </c>
      <c r="M76">
        <v>2.7100862512900628E-2</v>
      </c>
      <c r="N76" s="127">
        <v>0</v>
      </c>
      <c r="O76" s="127">
        <v>0.19252904716251043</v>
      </c>
      <c r="P76" t="s">
        <v>119</v>
      </c>
      <c r="Q76">
        <v>5.9318707845049584E-2</v>
      </c>
      <c r="R76" s="127">
        <v>1.1717390982590725E-3</v>
      </c>
      <c r="T76" t="s">
        <v>172</v>
      </c>
      <c r="U76" t="s">
        <v>120</v>
      </c>
      <c r="V76" s="127">
        <v>0.57659088604856623</v>
      </c>
      <c r="W76" t="s">
        <v>119</v>
      </c>
      <c r="X76" s="127">
        <v>4.0316912733718166E-2</v>
      </c>
      <c r="Y76" s="127">
        <v>0</v>
      </c>
      <c r="Z76" s="127">
        <v>0.49274291373211926</v>
      </c>
      <c r="AA76" t="s">
        <v>119</v>
      </c>
      <c r="AB76" s="127">
        <v>3.3945324403249509E-2</v>
      </c>
      <c r="AC76" s="127">
        <v>0</v>
      </c>
      <c r="AG76" t="s">
        <v>172</v>
      </c>
      <c r="AH76" s="127">
        <v>-0.67695170810880501</v>
      </c>
      <c r="AI76" s="127">
        <v>0.62247994329838396</v>
      </c>
      <c r="AJ76" s="127">
        <v>0.66409983938349504</v>
      </c>
      <c r="AK76" s="127">
        <v>0.68722401720766102</v>
      </c>
      <c r="AL76" s="127">
        <v>0.923583811021495</v>
      </c>
      <c r="AM76">
        <v>1</v>
      </c>
      <c r="AN76" s="127">
        <v>-0.95621089399974901</v>
      </c>
    </row>
    <row r="77" spans="1:42" x14ac:dyDescent="0.35">
      <c r="B77" s="126" t="s">
        <v>173</v>
      </c>
      <c r="D77" s="127">
        <v>1.0271879277291045</v>
      </c>
      <c r="E77" t="s">
        <v>119</v>
      </c>
      <c r="F77" s="127">
        <v>3.8462686358288145E-2</v>
      </c>
      <c r="G77" s="127">
        <v>0</v>
      </c>
      <c r="I77" s="126" t="s">
        <v>173</v>
      </c>
      <c r="J77" t="s">
        <v>123</v>
      </c>
      <c r="K77" s="127">
        <v>0.75004391163386941</v>
      </c>
      <c r="L77" t="s">
        <v>119</v>
      </c>
      <c r="M77">
        <v>9.4778342463184048E-2</v>
      </c>
      <c r="N77" s="127">
        <v>2.4424906541753444E-15</v>
      </c>
      <c r="O77" s="127">
        <v>1.2280252142003978</v>
      </c>
      <c r="P77" t="s">
        <v>119</v>
      </c>
      <c r="Q77">
        <v>9.3432314665823246E-2</v>
      </c>
      <c r="R77" s="127">
        <v>0</v>
      </c>
      <c r="T77" s="126" t="s">
        <v>173</v>
      </c>
      <c r="U77" t="s">
        <v>123</v>
      </c>
      <c r="V77" s="127">
        <v>1.0457558464701142</v>
      </c>
      <c r="W77" t="s">
        <v>119</v>
      </c>
      <c r="X77" s="127">
        <v>9.5006501035994242E-2</v>
      </c>
      <c r="Y77" s="127">
        <v>0</v>
      </c>
      <c r="Z77" s="127">
        <v>1.8139883910376509</v>
      </c>
      <c r="AA77" t="s">
        <v>119</v>
      </c>
      <c r="AB77" s="127">
        <v>0.10495380168402298</v>
      </c>
      <c r="AC77" s="127">
        <v>0</v>
      </c>
      <c r="AG77" s="126" t="s">
        <v>173</v>
      </c>
      <c r="AH77" s="127">
        <v>0.72936297917631798</v>
      </c>
      <c r="AI77" s="127">
        <v>-0.68017314591472899</v>
      </c>
      <c r="AJ77" s="127">
        <v>-0.68264635209848201</v>
      </c>
      <c r="AK77" s="127">
        <v>-0.68461507831378798</v>
      </c>
      <c r="AL77" s="127">
        <v>-0.90347675210732503</v>
      </c>
      <c r="AM77" s="127">
        <v>-0.95621089399974901</v>
      </c>
      <c r="AN77">
        <v>1</v>
      </c>
    </row>
    <row r="78" spans="1:42" x14ac:dyDescent="0.35">
      <c r="D78" t="s">
        <v>149</v>
      </c>
      <c r="K78" t="s">
        <v>149</v>
      </c>
      <c r="V78" t="s">
        <v>149</v>
      </c>
    </row>
    <row r="79" spans="1:42" x14ac:dyDescent="0.35">
      <c r="B79" t="s">
        <v>112</v>
      </c>
      <c r="D79" t="s">
        <v>113</v>
      </c>
      <c r="E79" t="s">
        <v>114</v>
      </c>
      <c r="F79" t="s">
        <v>115</v>
      </c>
      <c r="G79" t="s">
        <v>116</v>
      </c>
      <c r="I79" t="s">
        <v>112</v>
      </c>
      <c r="K79" t="s">
        <v>113</v>
      </c>
      <c r="L79" t="s">
        <v>114</v>
      </c>
      <c r="M79" t="s">
        <v>115</v>
      </c>
      <c r="N79" t="s">
        <v>116</v>
      </c>
      <c r="T79" t="s">
        <v>112</v>
      </c>
      <c r="V79" t="s">
        <v>113</v>
      </c>
      <c r="W79" t="s">
        <v>114</v>
      </c>
      <c r="X79" t="s">
        <v>115</v>
      </c>
      <c r="Y79" t="s">
        <v>116</v>
      </c>
    </row>
    <row r="80" spans="1:42" ht="15" thickBot="1" x14ac:dyDescent="0.4">
      <c r="B80" t="s">
        <v>150</v>
      </c>
      <c r="D80" s="127">
        <v>-0.28930440413413772</v>
      </c>
      <c r="E80" t="s">
        <v>119</v>
      </c>
      <c r="F80">
        <v>4.4893610253590073E-2</v>
      </c>
      <c r="G80" s="129">
        <v>1.1619460948963933E-10</v>
      </c>
      <c r="I80" t="s">
        <v>150</v>
      </c>
      <c r="K80" s="127">
        <v>-6.8250929492147533E-2</v>
      </c>
      <c r="L80" t="s">
        <v>122</v>
      </c>
      <c r="M80">
        <v>0.12375502978795772</v>
      </c>
      <c r="N80">
        <v>0.5812907974180388</v>
      </c>
      <c r="T80" t="s">
        <v>150</v>
      </c>
      <c r="V80">
        <v>0.12742184719763242</v>
      </c>
      <c r="W80" t="s">
        <v>122</v>
      </c>
      <c r="X80">
        <v>0.11667043660683238</v>
      </c>
      <c r="Y80">
        <v>0.27476630955151826</v>
      </c>
    </row>
    <row r="81" spans="2:46" x14ac:dyDescent="0.35">
      <c r="AR81" s="107"/>
      <c r="AS81" s="108"/>
      <c r="AT81" s="109"/>
    </row>
    <row r="82" spans="2:46" x14ac:dyDescent="0.35">
      <c r="B82" t="s">
        <v>124</v>
      </c>
      <c r="I82" t="s">
        <v>124</v>
      </c>
      <c r="T82" t="s">
        <v>124</v>
      </c>
      <c r="AR82" s="110"/>
      <c r="AS82" s="117" t="s">
        <v>151</v>
      </c>
      <c r="AT82" s="111"/>
    </row>
    <row r="83" spans="2:46" x14ac:dyDescent="0.35">
      <c r="B83" t="s">
        <v>125</v>
      </c>
      <c r="C83" s="37">
        <v>-6236.9436755116958</v>
      </c>
      <c r="I83" t="s">
        <v>125</v>
      </c>
      <c r="J83" s="37">
        <v>-4862.0067034368512</v>
      </c>
      <c r="T83" t="s">
        <v>125</v>
      </c>
      <c r="U83" s="37">
        <v>-4515.0536100963236</v>
      </c>
      <c r="AR83" s="110"/>
      <c r="AS83" s="26"/>
      <c r="AT83" s="111"/>
    </row>
    <row r="84" spans="2:46" ht="15.5" x14ac:dyDescent="0.35">
      <c r="B84" t="s">
        <v>126</v>
      </c>
      <c r="C84" s="37">
        <v>-6813.9425892407298</v>
      </c>
      <c r="I84" t="s">
        <v>126</v>
      </c>
      <c r="J84" s="37">
        <v>-6813.9425892407298</v>
      </c>
      <c r="T84" t="s">
        <v>126</v>
      </c>
      <c r="U84" s="37">
        <v>-6813.9425892407298</v>
      </c>
      <c r="AR84" s="110"/>
      <c r="AS84" s="118" t="s">
        <v>152</v>
      </c>
      <c r="AT84" s="111"/>
    </row>
    <row r="85" spans="2:46" ht="15.5" x14ac:dyDescent="0.35">
      <c r="B85" t="s">
        <v>127</v>
      </c>
      <c r="C85" s="37">
        <v>8.4679156915721587E-2</v>
      </c>
      <c r="I85" t="s">
        <v>127</v>
      </c>
      <c r="J85" s="37">
        <v>0.28646203871544218</v>
      </c>
      <c r="T85" t="s">
        <v>127</v>
      </c>
      <c r="U85" s="37">
        <v>0.33738015092383822</v>
      </c>
      <c r="AR85" s="110"/>
      <c r="AS85" s="119">
        <f>-2*(U83-(U13+U46))</f>
        <v>77.113917718870653</v>
      </c>
      <c r="AT85" s="111"/>
    </row>
    <row r="86" spans="2:46" ht="15.5" x14ac:dyDescent="0.35">
      <c r="B86" t="s">
        <v>128</v>
      </c>
      <c r="C86" s="37">
        <v>0.43548818583635596</v>
      </c>
      <c r="I86" t="s">
        <v>128</v>
      </c>
      <c r="J86" s="37">
        <v>0.51939704235923145</v>
      </c>
      <c r="T86" t="s">
        <v>128</v>
      </c>
      <c r="U86" s="37">
        <v>0.54547592601578876</v>
      </c>
      <c r="AR86" s="110"/>
      <c r="AS86" s="120" t="s">
        <v>153</v>
      </c>
      <c r="AT86" s="111"/>
    </row>
    <row r="87" spans="2:46" ht="15.5" x14ac:dyDescent="0.35">
      <c r="B87" t="s">
        <v>129</v>
      </c>
      <c r="C87" s="37">
        <v>1.7986588927165021</v>
      </c>
      <c r="I87" t="s">
        <v>129</v>
      </c>
      <c r="J87" s="37">
        <v>1.4046678293308903</v>
      </c>
      <c r="T87" t="s">
        <v>129</v>
      </c>
      <c r="U87" s="37">
        <v>1.3107873300968673</v>
      </c>
      <c r="AR87" s="110"/>
      <c r="AS87" s="121">
        <f>U91</f>
        <v>36</v>
      </c>
      <c r="AT87" s="111"/>
    </row>
    <row r="88" spans="2:46" ht="15.5" x14ac:dyDescent="0.35">
      <c r="B88" t="s">
        <v>130</v>
      </c>
      <c r="C88" s="37">
        <v>1.8065455669749586</v>
      </c>
      <c r="I88" t="s">
        <v>130</v>
      </c>
      <c r="J88" s="37">
        <v>1.4194553435654962</v>
      </c>
      <c r="T88" t="s">
        <v>130</v>
      </c>
      <c r="U88" s="37">
        <v>1.3462773642599213</v>
      </c>
      <c r="AR88" s="110"/>
      <c r="AS88" s="122" t="s">
        <v>116</v>
      </c>
      <c r="AT88" s="111"/>
    </row>
    <row r="89" spans="2:46" ht="15.5" x14ac:dyDescent="0.35">
      <c r="B89" t="s">
        <v>131</v>
      </c>
      <c r="C89">
        <v>6944</v>
      </c>
      <c r="I89" t="s">
        <v>131</v>
      </c>
      <c r="J89">
        <v>6944</v>
      </c>
      <c r="T89" t="s">
        <v>131</v>
      </c>
      <c r="U89">
        <v>6944</v>
      </c>
      <c r="AR89" s="110"/>
      <c r="AS89" s="123">
        <f>CHIDIST(AS85,AS87)</f>
        <v>8.062894457428965E-5</v>
      </c>
      <c r="AT89" s="111"/>
    </row>
    <row r="90" spans="2:46" ht="15" thickBot="1" x14ac:dyDescent="0.4">
      <c r="B90" t="s">
        <v>132</v>
      </c>
      <c r="C90">
        <v>868</v>
      </c>
      <c r="I90" t="s">
        <v>132</v>
      </c>
      <c r="J90">
        <v>868</v>
      </c>
      <c r="T90" t="s">
        <v>132</v>
      </c>
      <c r="U90">
        <v>868</v>
      </c>
      <c r="AR90" s="112"/>
      <c r="AS90" s="7"/>
      <c r="AT90" s="113"/>
    </row>
    <row r="91" spans="2:46" x14ac:dyDescent="0.35">
      <c r="B91" t="s">
        <v>133</v>
      </c>
      <c r="C91">
        <v>8</v>
      </c>
      <c r="I91" t="s">
        <v>133</v>
      </c>
      <c r="J91">
        <v>15</v>
      </c>
      <c r="T91" t="s">
        <v>133</v>
      </c>
      <c r="U91">
        <v>36</v>
      </c>
    </row>
    <row r="92" spans="2:46" x14ac:dyDescent="0.35">
      <c r="B92" t="s">
        <v>134</v>
      </c>
    </row>
    <row r="93" spans="2:46" x14ac:dyDescent="0.35">
      <c r="B93" t="s">
        <v>135</v>
      </c>
      <c r="C93" t="s">
        <v>136</v>
      </c>
      <c r="I93" t="s">
        <v>135</v>
      </c>
      <c r="J93" t="s">
        <v>137</v>
      </c>
      <c r="T93" t="s">
        <v>135</v>
      </c>
      <c r="U93" t="s">
        <v>137</v>
      </c>
    </row>
    <row r="94" spans="2:46" x14ac:dyDescent="0.35">
      <c r="B94" t="s">
        <v>138</v>
      </c>
      <c r="C94" t="s">
        <v>139</v>
      </c>
      <c r="I94" t="s">
        <v>140</v>
      </c>
      <c r="J94" t="s">
        <v>141</v>
      </c>
      <c r="T94" t="s">
        <v>140</v>
      </c>
      <c r="U94" s="114" t="s">
        <v>147</v>
      </c>
    </row>
    <row r="95" spans="2:46" x14ac:dyDescent="0.35">
      <c r="B95" t="s">
        <v>142</v>
      </c>
      <c r="C95" t="s">
        <v>143</v>
      </c>
      <c r="I95" t="s">
        <v>138</v>
      </c>
      <c r="J95" t="s">
        <v>139</v>
      </c>
      <c r="T95" t="s">
        <v>138</v>
      </c>
      <c r="U95" t="s">
        <v>139</v>
      </c>
    </row>
    <row r="96" spans="2:46" x14ac:dyDescent="0.35">
      <c r="B96" t="s">
        <v>144</v>
      </c>
      <c r="C96" t="s">
        <v>145</v>
      </c>
      <c r="I96" t="s">
        <v>142</v>
      </c>
      <c r="J96" t="s">
        <v>143</v>
      </c>
      <c r="T96" t="s">
        <v>142</v>
      </c>
      <c r="U96" t="s">
        <v>143</v>
      </c>
    </row>
    <row r="97" spans="9:21" x14ac:dyDescent="0.35">
      <c r="I97" t="s">
        <v>144</v>
      </c>
      <c r="J97" t="s">
        <v>145</v>
      </c>
      <c r="T97" t="s">
        <v>144</v>
      </c>
      <c r="U97" t="s">
        <v>145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80" zoomScaleNormal="80" workbookViewId="0">
      <selection activeCell="A7" sqref="A7"/>
    </sheetView>
  </sheetViews>
  <sheetFormatPr defaultRowHeight="14.5" x14ac:dyDescent="0.35"/>
  <cols>
    <col min="3" max="3" width="11" bestFit="1" customWidth="1"/>
    <col min="4" max="4" width="10.26953125" customWidth="1"/>
    <col min="6" max="6" width="11.26953125" customWidth="1"/>
    <col min="7" max="7" width="11.7265625" customWidth="1"/>
    <col min="8" max="8" width="14.7265625" customWidth="1"/>
    <col min="9" max="9" width="18.54296875" customWidth="1"/>
    <col min="10" max="10" width="17.7265625" bestFit="1" customWidth="1"/>
    <col min="11" max="11" width="16.81640625" bestFit="1" customWidth="1"/>
    <col min="12" max="12" width="26.453125" bestFit="1" customWidth="1"/>
    <col min="14" max="15" width="17.7265625" bestFit="1" customWidth="1"/>
    <col min="17" max="17" width="19.81640625" customWidth="1"/>
    <col min="18" max="18" width="37.453125" customWidth="1"/>
    <col min="19" max="19" width="29.26953125" customWidth="1"/>
    <col min="20" max="20" width="29.453125" customWidth="1"/>
    <col min="21" max="21" width="26.7265625" bestFit="1" customWidth="1"/>
    <col min="22" max="22" width="31.54296875" bestFit="1" customWidth="1"/>
    <col min="23" max="23" width="26.453125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186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Q9" s="38"/>
      <c r="R9" s="153" t="s">
        <v>89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v>0</v>
      </c>
      <c r="D10" s="87">
        <f>V12</f>
        <v>923.52834276974863</v>
      </c>
      <c r="E10" s="88">
        <v>1227</v>
      </c>
      <c r="F10">
        <v>0</v>
      </c>
      <c r="G10" s="88">
        <v>300</v>
      </c>
      <c r="I10" s="5">
        <f>D10*C10</f>
        <v>0</v>
      </c>
      <c r="J10" s="23">
        <f>$S$11</f>
        <v>0</v>
      </c>
      <c r="K10" s="89">
        <f>(G10*C10)+(E10*C10)</f>
        <v>0</v>
      </c>
      <c r="L10" s="5">
        <f>(I10+J10-K10)/(1+$J$5)^B10</f>
        <v>0</v>
      </c>
      <c r="N10" s="5">
        <f>(K10)/(1+$J$5)^$B10</f>
        <v>0</v>
      </c>
      <c r="O10" s="5">
        <f>(I10+J10)/(1+$J$5)^$B10</f>
        <v>0</v>
      </c>
      <c r="R10" s="76" t="s">
        <v>68</v>
      </c>
      <c r="S10" s="28" t="s">
        <v>81</v>
      </c>
      <c r="T10" s="76" t="s">
        <v>68</v>
      </c>
      <c r="U10" s="28" t="s">
        <v>81</v>
      </c>
      <c r="V10" s="76" t="s">
        <v>68</v>
      </c>
      <c r="W10" s="28" t="s">
        <v>81</v>
      </c>
    </row>
    <row r="11" spans="1:23" ht="15" thickBot="1" x14ac:dyDescent="0.4">
      <c r="A11">
        <v>2018</v>
      </c>
      <c r="B11">
        <v>1</v>
      </c>
      <c r="C11" s="36">
        <v>0</v>
      </c>
      <c r="D11" s="2">
        <f>$D$10</f>
        <v>923.52834276974863</v>
      </c>
      <c r="E11">
        <f>E10</f>
        <v>1227</v>
      </c>
      <c r="F11">
        <v>0</v>
      </c>
      <c r="G11">
        <f>G10</f>
        <v>300</v>
      </c>
      <c r="I11" s="5">
        <f t="shared" ref="I11:I42" si="0">D11*C11</f>
        <v>0</v>
      </c>
      <c r="J11" s="23">
        <f t="shared" ref="J11:J43" si="1">$S$11</f>
        <v>0</v>
      </c>
      <c r="K11" s="89">
        <f>(G11*C11)+(E11*(C11-C10))</f>
        <v>0</v>
      </c>
      <c r="L11" s="5">
        <f t="shared" ref="L11:L40" si="2">(I11+J11-K11)/(1+$J$5)^B11</f>
        <v>0</v>
      </c>
      <c r="N11" s="5">
        <f t="shared" ref="N11:N40" si="3">(K11)/(1+$J$5)^$B11</f>
        <v>0</v>
      </c>
      <c r="O11" s="5">
        <f t="shared" ref="O11:O40" si="4">(I11+J11)/(1+$J$5)^$B11</f>
        <v>0</v>
      </c>
      <c r="Q11" t="s">
        <v>43</v>
      </c>
      <c r="R11" s="44">
        <f>'BCA - WTP per ha &amp; per year'!B19</f>
        <v>693.67356066751097</v>
      </c>
      <c r="S11" s="44">
        <v>0</v>
      </c>
      <c r="T11" s="44">
        <f>'BCA - WTP per ha &amp; per year'!$B$35</f>
        <v>559.96858051454444</v>
      </c>
      <c r="U11" s="44">
        <v>0</v>
      </c>
      <c r="V11" s="44">
        <f>'BCA - WTP per ha &amp; per year'!$B$60</f>
        <v>827.37854082047727</v>
      </c>
      <c r="W11" s="44">
        <v>0</v>
      </c>
    </row>
    <row r="12" spans="1:23" ht="15" thickBot="1" x14ac:dyDescent="0.4">
      <c r="A12">
        <v>2019</v>
      </c>
      <c r="B12">
        <v>2</v>
      </c>
      <c r="C12" s="36">
        <v>0</v>
      </c>
      <c r="D12" s="2">
        <f t="shared" ref="D12:D43" si="5">$D$10</f>
        <v>923.52834276974863</v>
      </c>
      <c r="E12">
        <f t="shared" ref="E12:G27" si="6">E11</f>
        <v>1227</v>
      </c>
      <c r="F12">
        <f t="shared" si="6"/>
        <v>0</v>
      </c>
      <c r="G12">
        <f t="shared" si="6"/>
        <v>300</v>
      </c>
      <c r="I12" s="5">
        <f t="shared" si="0"/>
        <v>0</v>
      </c>
      <c r="J12" s="23">
        <f t="shared" si="1"/>
        <v>0</v>
      </c>
      <c r="K12" s="10">
        <f t="shared" ref="K12:K43" si="7">(G12*C12)+(E12*(C12-C11))</f>
        <v>0</v>
      </c>
      <c r="L12" s="5">
        <f t="shared" si="2"/>
        <v>0</v>
      </c>
      <c r="N12" s="5">
        <f t="shared" si="3"/>
        <v>0</v>
      </c>
      <c r="O12" s="5">
        <f t="shared" si="4"/>
        <v>0</v>
      </c>
      <c r="Q12" t="s">
        <v>44</v>
      </c>
      <c r="R12" s="44">
        <f>'BCA - WTP per ha &amp; per year'!E19</f>
        <v>769.46078112838177</v>
      </c>
      <c r="S12" s="82">
        <v>0</v>
      </c>
      <c r="T12" s="44">
        <f>'BCA - WTP per ha &amp; per year'!$E$35</f>
        <v>615.3932194870149</v>
      </c>
      <c r="U12" s="82">
        <v>0</v>
      </c>
      <c r="V12" s="44">
        <f>'BCA - WTP per ha &amp; per year'!$E$60</f>
        <v>923.52834276974863</v>
      </c>
      <c r="W12" s="82">
        <v>0</v>
      </c>
    </row>
    <row r="13" spans="1:23" x14ac:dyDescent="0.35">
      <c r="A13">
        <v>2020</v>
      </c>
      <c r="B13">
        <v>3</v>
      </c>
      <c r="C13" s="36">
        <v>0</v>
      </c>
      <c r="D13" s="2">
        <f t="shared" si="5"/>
        <v>923.52834276974863</v>
      </c>
      <c r="E13">
        <f t="shared" si="6"/>
        <v>1227</v>
      </c>
      <c r="F13">
        <f t="shared" si="6"/>
        <v>0</v>
      </c>
      <c r="G13">
        <f t="shared" si="6"/>
        <v>300</v>
      </c>
      <c r="I13" s="5">
        <f t="shared" si="0"/>
        <v>0</v>
      </c>
      <c r="J13" s="23">
        <f t="shared" si="1"/>
        <v>0</v>
      </c>
      <c r="K13" s="10">
        <f t="shared" si="7"/>
        <v>0</v>
      </c>
      <c r="L13" s="5">
        <f t="shared" si="2"/>
        <v>0</v>
      </c>
      <c r="N13" s="5">
        <f t="shared" si="3"/>
        <v>0</v>
      </c>
      <c r="O13" s="5">
        <f t="shared" si="4"/>
        <v>0</v>
      </c>
      <c r="S13" s="26"/>
      <c r="T13" s="2"/>
    </row>
    <row r="14" spans="1:23" x14ac:dyDescent="0.35">
      <c r="A14">
        <v>2021</v>
      </c>
      <c r="B14">
        <v>4</v>
      </c>
      <c r="C14" s="36">
        <v>0</v>
      </c>
      <c r="D14" s="2">
        <f t="shared" si="5"/>
        <v>923.52834276974863</v>
      </c>
      <c r="E14">
        <f t="shared" si="6"/>
        <v>1227</v>
      </c>
      <c r="F14">
        <f t="shared" si="6"/>
        <v>0</v>
      </c>
      <c r="G14">
        <f t="shared" si="6"/>
        <v>300</v>
      </c>
      <c r="I14" s="5">
        <f t="shared" si="0"/>
        <v>0</v>
      </c>
      <c r="J14" s="23">
        <f t="shared" si="1"/>
        <v>0</v>
      </c>
      <c r="K14" s="10">
        <f t="shared" si="7"/>
        <v>0</v>
      </c>
      <c r="L14" s="5">
        <f t="shared" si="2"/>
        <v>0</v>
      </c>
      <c r="N14" s="5">
        <f t="shared" si="3"/>
        <v>0</v>
      </c>
      <c r="O14" s="5">
        <f t="shared" si="4"/>
        <v>0</v>
      </c>
      <c r="T14" s="2"/>
    </row>
    <row r="15" spans="1:23" x14ac:dyDescent="0.35">
      <c r="A15">
        <v>2022</v>
      </c>
      <c r="B15">
        <v>5</v>
      </c>
      <c r="C15" s="36">
        <v>0</v>
      </c>
      <c r="D15" s="2">
        <f t="shared" si="5"/>
        <v>923.52834276974863</v>
      </c>
      <c r="E15">
        <f t="shared" si="6"/>
        <v>1227</v>
      </c>
      <c r="F15">
        <f t="shared" si="6"/>
        <v>0</v>
      </c>
      <c r="G15">
        <f t="shared" si="6"/>
        <v>300</v>
      </c>
      <c r="I15" s="5">
        <f t="shared" si="0"/>
        <v>0</v>
      </c>
      <c r="J15" s="23">
        <f t="shared" si="1"/>
        <v>0</v>
      </c>
      <c r="K15" s="10">
        <f t="shared" si="7"/>
        <v>0</v>
      </c>
      <c r="L15" s="5">
        <f t="shared" si="2"/>
        <v>0</v>
      </c>
      <c r="N15" s="5">
        <f t="shared" si="3"/>
        <v>0</v>
      </c>
      <c r="O15" s="5">
        <f t="shared" si="4"/>
        <v>0</v>
      </c>
      <c r="T15" s="2"/>
    </row>
    <row r="16" spans="1:23" x14ac:dyDescent="0.35">
      <c r="A16">
        <v>2023</v>
      </c>
      <c r="B16">
        <v>6</v>
      </c>
      <c r="C16" s="36">
        <v>0</v>
      </c>
      <c r="D16" s="2">
        <f t="shared" si="5"/>
        <v>923.52834276974863</v>
      </c>
      <c r="E16">
        <f t="shared" si="6"/>
        <v>1227</v>
      </c>
      <c r="F16">
        <f t="shared" si="6"/>
        <v>0</v>
      </c>
      <c r="G16">
        <f t="shared" si="6"/>
        <v>300</v>
      </c>
      <c r="I16" s="5">
        <f t="shared" si="0"/>
        <v>0</v>
      </c>
      <c r="J16" s="23">
        <f t="shared" si="1"/>
        <v>0</v>
      </c>
      <c r="K16" s="10">
        <f t="shared" si="7"/>
        <v>0</v>
      </c>
      <c r="L16" s="5">
        <f t="shared" si="2"/>
        <v>0</v>
      </c>
      <c r="N16" s="5">
        <f t="shared" si="3"/>
        <v>0</v>
      </c>
      <c r="O16" s="5">
        <f t="shared" si="4"/>
        <v>0</v>
      </c>
      <c r="T16" s="2"/>
    </row>
    <row r="17" spans="1:23" x14ac:dyDescent="0.35">
      <c r="A17">
        <v>2024</v>
      </c>
      <c r="B17">
        <v>7</v>
      </c>
      <c r="C17" s="36">
        <v>0</v>
      </c>
      <c r="D17" s="2">
        <f t="shared" si="5"/>
        <v>923.52834276974863</v>
      </c>
      <c r="E17">
        <f t="shared" si="6"/>
        <v>1227</v>
      </c>
      <c r="F17">
        <f t="shared" si="6"/>
        <v>0</v>
      </c>
      <c r="G17">
        <f t="shared" si="6"/>
        <v>300</v>
      </c>
      <c r="I17" s="5">
        <f t="shared" si="0"/>
        <v>0</v>
      </c>
      <c r="J17" s="23">
        <f t="shared" si="1"/>
        <v>0</v>
      </c>
      <c r="K17" s="10">
        <f t="shared" si="7"/>
        <v>0</v>
      </c>
      <c r="L17" s="5">
        <f t="shared" si="2"/>
        <v>0</v>
      </c>
      <c r="N17" s="5">
        <f t="shared" si="3"/>
        <v>0</v>
      </c>
      <c r="O17" s="5">
        <f t="shared" si="4"/>
        <v>0</v>
      </c>
      <c r="Q17" s="69"/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v>0</v>
      </c>
      <c r="D18" s="2">
        <f t="shared" si="5"/>
        <v>923.52834276974863</v>
      </c>
      <c r="E18">
        <f t="shared" si="6"/>
        <v>1227</v>
      </c>
      <c r="F18">
        <f t="shared" si="6"/>
        <v>0</v>
      </c>
      <c r="G18">
        <f t="shared" si="6"/>
        <v>300</v>
      </c>
      <c r="I18" s="5">
        <f t="shared" si="0"/>
        <v>0</v>
      </c>
      <c r="J18" s="23">
        <f t="shared" si="1"/>
        <v>0</v>
      </c>
      <c r="K18" s="10">
        <f t="shared" si="7"/>
        <v>0</v>
      </c>
      <c r="L18" s="5">
        <f t="shared" si="2"/>
        <v>0</v>
      </c>
      <c r="N18" s="5">
        <f t="shared" si="3"/>
        <v>0</v>
      </c>
      <c r="O18" s="5">
        <f t="shared" si="4"/>
        <v>0</v>
      </c>
      <c r="Q18" s="69"/>
      <c r="R18" s="150" t="s">
        <v>66</v>
      </c>
      <c r="S18" s="150"/>
      <c r="T18" s="150" t="s">
        <v>92</v>
      </c>
      <c r="U18" s="150"/>
      <c r="V18" s="150" t="s">
        <v>94</v>
      </c>
      <c r="W18" s="150"/>
    </row>
    <row r="19" spans="1:23" x14ac:dyDescent="0.35">
      <c r="A19">
        <v>2026</v>
      </c>
      <c r="B19">
        <v>9</v>
      </c>
      <c r="C19" s="36">
        <v>0</v>
      </c>
      <c r="D19" s="2">
        <f t="shared" si="5"/>
        <v>923.52834276974863</v>
      </c>
      <c r="E19">
        <f t="shared" si="6"/>
        <v>1227</v>
      </c>
      <c r="F19">
        <f t="shared" si="6"/>
        <v>0</v>
      </c>
      <c r="G19">
        <f t="shared" si="6"/>
        <v>300</v>
      </c>
      <c r="I19" s="5">
        <f t="shared" si="0"/>
        <v>0</v>
      </c>
      <c r="J19" s="23">
        <f t="shared" si="1"/>
        <v>0</v>
      </c>
      <c r="K19" s="10">
        <f t="shared" si="7"/>
        <v>0</v>
      </c>
      <c r="L19" s="5">
        <f t="shared" si="2"/>
        <v>0</v>
      </c>
      <c r="N19" s="5">
        <f t="shared" si="3"/>
        <v>0</v>
      </c>
      <c r="O19" s="5">
        <f t="shared" si="4"/>
        <v>0</v>
      </c>
      <c r="Q19" s="69"/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v>0</v>
      </c>
      <c r="D20" s="2">
        <f t="shared" si="5"/>
        <v>923.52834276974863</v>
      </c>
      <c r="E20">
        <f t="shared" si="6"/>
        <v>1227</v>
      </c>
      <c r="F20">
        <f t="shared" si="6"/>
        <v>0</v>
      </c>
      <c r="G20">
        <f t="shared" si="6"/>
        <v>300</v>
      </c>
      <c r="I20" s="5">
        <f t="shared" si="0"/>
        <v>0</v>
      </c>
      <c r="J20" s="23">
        <f t="shared" si="1"/>
        <v>0</v>
      </c>
      <c r="K20" s="10">
        <f t="shared" si="7"/>
        <v>0</v>
      </c>
      <c r="L20" s="5">
        <f t="shared" si="2"/>
        <v>0</v>
      </c>
      <c r="N20" s="5">
        <f t="shared" si="3"/>
        <v>0</v>
      </c>
      <c r="O20" s="5">
        <f t="shared" si="4"/>
        <v>0</v>
      </c>
      <c r="Q20" s="68"/>
      <c r="R20" s="32" t="s">
        <v>50</v>
      </c>
      <c r="S20" s="37">
        <v>1.3985251772085667</v>
      </c>
      <c r="T20" s="32" t="s">
        <v>50</v>
      </c>
      <c r="U20" s="37">
        <v>1.1289606562800796</v>
      </c>
      <c r="V20" s="32" t="s">
        <v>50</v>
      </c>
      <c r="W20" s="37">
        <v>1.6680896981370534</v>
      </c>
    </row>
    <row r="21" spans="1:23" x14ac:dyDescent="0.35">
      <c r="A21">
        <v>2028</v>
      </c>
      <c r="B21">
        <v>11</v>
      </c>
      <c r="C21" s="36">
        <v>0</v>
      </c>
      <c r="D21" s="2">
        <f t="shared" si="5"/>
        <v>923.52834276974863</v>
      </c>
      <c r="E21">
        <f t="shared" si="6"/>
        <v>1227</v>
      </c>
      <c r="F21">
        <f t="shared" si="6"/>
        <v>0</v>
      </c>
      <c r="G21">
        <f t="shared" si="6"/>
        <v>300</v>
      </c>
      <c r="I21" s="5">
        <f t="shared" si="0"/>
        <v>0</v>
      </c>
      <c r="J21" s="23">
        <f t="shared" si="1"/>
        <v>0</v>
      </c>
      <c r="K21" s="10">
        <f t="shared" si="7"/>
        <v>0</v>
      </c>
      <c r="L21" s="5">
        <f t="shared" si="2"/>
        <v>0</v>
      </c>
      <c r="N21" s="5">
        <f t="shared" si="3"/>
        <v>0</v>
      </c>
      <c r="O21" s="5">
        <f t="shared" si="4"/>
        <v>0</v>
      </c>
      <c r="Q21" s="68"/>
      <c r="R21" s="32" t="s">
        <v>51</v>
      </c>
      <c r="S21" s="58">
        <v>78943294.764084563</v>
      </c>
      <c r="T21" s="32" t="s">
        <v>51</v>
      </c>
      <c r="U21" s="58">
        <v>25545635.969594344</v>
      </c>
      <c r="V21" s="32" t="s">
        <v>51</v>
      </c>
      <c r="W21" s="58">
        <v>132340953.55857471</v>
      </c>
    </row>
    <row r="22" spans="1:23" x14ac:dyDescent="0.35">
      <c r="A22">
        <v>2029</v>
      </c>
      <c r="B22">
        <v>12</v>
      </c>
      <c r="C22" s="36">
        <v>0</v>
      </c>
      <c r="D22" s="2">
        <f t="shared" si="5"/>
        <v>923.52834276974863</v>
      </c>
      <c r="E22">
        <f t="shared" si="6"/>
        <v>1227</v>
      </c>
      <c r="F22">
        <f t="shared" si="6"/>
        <v>0</v>
      </c>
      <c r="G22">
        <f t="shared" si="6"/>
        <v>300</v>
      </c>
      <c r="I22" s="5">
        <f t="shared" si="0"/>
        <v>0</v>
      </c>
      <c r="J22" s="23">
        <f t="shared" si="1"/>
        <v>0</v>
      </c>
      <c r="K22" s="10">
        <f t="shared" si="7"/>
        <v>0</v>
      </c>
      <c r="L22" s="5">
        <f t="shared" si="2"/>
        <v>0</v>
      </c>
      <c r="N22" s="5">
        <f t="shared" si="3"/>
        <v>0</v>
      </c>
      <c r="O22" s="5">
        <f t="shared" si="4"/>
        <v>0</v>
      </c>
      <c r="Q22" s="68"/>
      <c r="R22" s="90"/>
      <c r="S22" s="91"/>
      <c r="U22" s="26"/>
      <c r="W22" s="26"/>
    </row>
    <row r="23" spans="1:23" x14ac:dyDescent="0.35">
      <c r="A23">
        <v>2030</v>
      </c>
      <c r="B23">
        <v>13</v>
      </c>
      <c r="C23" s="36">
        <v>0</v>
      </c>
      <c r="D23" s="2">
        <f t="shared" si="5"/>
        <v>923.52834276974863</v>
      </c>
      <c r="E23">
        <f t="shared" si="6"/>
        <v>1227</v>
      </c>
      <c r="F23">
        <f t="shared" si="6"/>
        <v>0</v>
      </c>
      <c r="G23">
        <f t="shared" si="6"/>
        <v>300</v>
      </c>
      <c r="I23" s="5">
        <f t="shared" si="0"/>
        <v>0</v>
      </c>
      <c r="J23" s="23">
        <f t="shared" si="1"/>
        <v>0</v>
      </c>
      <c r="K23" s="10">
        <f t="shared" si="7"/>
        <v>0</v>
      </c>
      <c r="L23" s="5">
        <f t="shared" si="2"/>
        <v>0</v>
      </c>
      <c r="N23" s="5">
        <f t="shared" si="3"/>
        <v>0</v>
      </c>
      <c r="O23" s="5">
        <f t="shared" si="4"/>
        <v>0</v>
      </c>
      <c r="Q23" s="68"/>
      <c r="R23" s="152" t="s">
        <v>13</v>
      </c>
      <c r="S23" s="152"/>
      <c r="T23" s="152" t="s">
        <v>13</v>
      </c>
      <c r="U23" s="152"/>
      <c r="V23" s="152" t="s">
        <v>13</v>
      </c>
      <c r="W23" s="152"/>
    </row>
    <row r="24" spans="1:23" x14ac:dyDescent="0.35">
      <c r="A24">
        <v>2031</v>
      </c>
      <c r="B24">
        <v>14</v>
      </c>
      <c r="C24" s="36">
        <v>0</v>
      </c>
      <c r="D24" s="2">
        <f t="shared" si="5"/>
        <v>923.52834276974863</v>
      </c>
      <c r="E24">
        <f t="shared" si="6"/>
        <v>1227</v>
      </c>
      <c r="F24">
        <f t="shared" si="6"/>
        <v>0</v>
      </c>
      <c r="G24">
        <f t="shared" si="6"/>
        <v>300</v>
      </c>
      <c r="I24" s="5">
        <f t="shared" si="0"/>
        <v>0</v>
      </c>
      <c r="J24" s="23">
        <f t="shared" si="1"/>
        <v>0</v>
      </c>
      <c r="K24" s="10">
        <f t="shared" si="7"/>
        <v>0</v>
      </c>
      <c r="L24" s="5">
        <f t="shared" si="2"/>
        <v>0</v>
      </c>
      <c r="N24" s="5">
        <f t="shared" si="3"/>
        <v>0</v>
      </c>
      <c r="O24" s="5">
        <f t="shared" si="4"/>
        <v>0</v>
      </c>
      <c r="Q24" s="69"/>
      <c r="R24" s="150" t="s">
        <v>67</v>
      </c>
      <c r="S24" s="150"/>
      <c r="T24" s="150" t="s">
        <v>93</v>
      </c>
      <c r="U24" s="150"/>
      <c r="V24" s="150" t="s">
        <v>95</v>
      </c>
      <c r="W24" s="150"/>
    </row>
    <row r="25" spans="1:23" x14ac:dyDescent="0.35">
      <c r="A25">
        <v>2032</v>
      </c>
      <c r="B25">
        <v>15</v>
      </c>
      <c r="C25" s="36">
        <v>0</v>
      </c>
      <c r="D25" s="2">
        <f t="shared" si="5"/>
        <v>923.52834276974863</v>
      </c>
      <c r="E25">
        <f t="shared" si="6"/>
        <v>1227</v>
      </c>
      <c r="F25">
        <f t="shared" si="6"/>
        <v>0</v>
      </c>
      <c r="G25">
        <f t="shared" si="6"/>
        <v>300</v>
      </c>
      <c r="I25" s="5">
        <f t="shared" si="0"/>
        <v>0</v>
      </c>
      <c r="J25" s="23">
        <f t="shared" si="1"/>
        <v>0</v>
      </c>
      <c r="K25" s="10">
        <f t="shared" si="7"/>
        <v>0</v>
      </c>
      <c r="L25" s="5">
        <f t="shared" si="2"/>
        <v>0</v>
      </c>
      <c r="N25" s="5">
        <f t="shared" si="3"/>
        <v>0</v>
      </c>
      <c r="O25" s="5">
        <f t="shared" si="4"/>
        <v>0</v>
      </c>
      <c r="Q25" s="69"/>
      <c r="S25" s="66" t="s">
        <v>65</v>
      </c>
      <c r="U25" s="66" t="s">
        <v>65</v>
      </c>
      <c r="W25" s="66" t="s">
        <v>65</v>
      </c>
    </row>
    <row r="26" spans="1:23" x14ac:dyDescent="0.35">
      <c r="A26">
        <v>2033</v>
      </c>
      <c r="B26">
        <v>16</v>
      </c>
      <c r="C26" s="36">
        <v>0</v>
      </c>
      <c r="D26" s="2">
        <f t="shared" si="5"/>
        <v>923.52834276974863</v>
      </c>
      <c r="E26">
        <f t="shared" si="6"/>
        <v>1227</v>
      </c>
      <c r="F26">
        <f t="shared" si="6"/>
        <v>0</v>
      </c>
      <c r="G26">
        <f t="shared" si="6"/>
        <v>300</v>
      </c>
      <c r="I26" s="5">
        <f t="shared" si="0"/>
        <v>0</v>
      </c>
      <c r="J26" s="23">
        <f t="shared" si="1"/>
        <v>0</v>
      </c>
      <c r="K26" s="10">
        <f t="shared" si="7"/>
        <v>0</v>
      </c>
      <c r="L26" s="5">
        <f t="shared" si="2"/>
        <v>0</v>
      </c>
      <c r="N26" s="5">
        <f t="shared" si="3"/>
        <v>0</v>
      </c>
      <c r="O26" s="5">
        <f t="shared" si="4"/>
        <v>0</v>
      </c>
      <c r="Q26" s="68"/>
      <c r="R26" s="32" t="s">
        <v>50</v>
      </c>
      <c r="S26" s="37">
        <v>1.5513208752645677</v>
      </c>
      <c r="T26" s="32" t="s">
        <v>50</v>
      </c>
      <c r="U26" s="37">
        <v>1.2407030628468021</v>
      </c>
      <c r="V26" s="32" t="s">
        <v>50</v>
      </c>
      <c r="W26" s="37">
        <v>1.8619386876823332</v>
      </c>
    </row>
    <row r="27" spans="1:23" x14ac:dyDescent="0.35">
      <c r="A27">
        <v>2034</v>
      </c>
      <c r="B27">
        <v>17</v>
      </c>
      <c r="C27" s="36">
        <v>0</v>
      </c>
      <c r="D27" s="2">
        <f t="shared" si="5"/>
        <v>923.52834276974863</v>
      </c>
      <c r="E27">
        <f t="shared" si="6"/>
        <v>1227</v>
      </c>
      <c r="F27">
        <f t="shared" si="6"/>
        <v>0</v>
      </c>
      <c r="G27">
        <f t="shared" si="6"/>
        <v>300</v>
      </c>
      <c r="I27" s="5">
        <f t="shared" si="0"/>
        <v>0</v>
      </c>
      <c r="J27" s="23">
        <f t="shared" si="1"/>
        <v>0</v>
      </c>
      <c r="K27" s="10">
        <f t="shared" si="7"/>
        <v>0</v>
      </c>
      <c r="L27" s="5">
        <f t="shared" si="2"/>
        <v>0</v>
      </c>
      <c r="N27" s="5">
        <f t="shared" si="3"/>
        <v>0</v>
      </c>
      <c r="O27" s="5">
        <f t="shared" si="4"/>
        <v>0</v>
      </c>
      <c r="Q27" s="68"/>
      <c r="R27" s="32" t="s">
        <v>51</v>
      </c>
      <c r="S27" s="58">
        <v>109210380.8107115</v>
      </c>
      <c r="T27" s="32" t="s">
        <v>51</v>
      </c>
      <c r="U27" s="58">
        <v>47680532.944066681</v>
      </c>
      <c r="V27" s="32" t="s">
        <v>51</v>
      </c>
      <c r="W27" s="58">
        <v>170740228.67735639</v>
      </c>
    </row>
    <row r="28" spans="1:23" x14ac:dyDescent="0.35">
      <c r="A28">
        <v>2035</v>
      </c>
      <c r="B28">
        <v>18</v>
      </c>
      <c r="C28" s="36">
        <v>0</v>
      </c>
      <c r="D28" s="2">
        <f t="shared" si="5"/>
        <v>923.52834276974863</v>
      </c>
      <c r="E28">
        <f t="shared" ref="E28:G43" si="8">E27</f>
        <v>1227</v>
      </c>
      <c r="F28">
        <f t="shared" si="8"/>
        <v>0</v>
      </c>
      <c r="G28">
        <f t="shared" si="8"/>
        <v>300</v>
      </c>
      <c r="I28" s="5">
        <f t="shared" si="0"/>
        <v>0</v>
      </c>
      <c r="J28" s="23">
        <f t="shared" si="1"/>
        <v>0</v>
      </c>
      <c r="K28" s="10">
        <f t="shared" si="7"/>
        <v>0</v>
      </c>
      <c r="L28" s="5">
        <f t="shared" si="2"/>
        <v>0</v>
      </c>
      <c r="N28" s="5">
        <f t="shared" si="3"/>
        <v>0</v>
      </c>
      <c r="O28" s="5">
        <f t="shared" si="4"/>
        <v>0</v>
      </c>
      <c r="Q28" s="68"/>
      <c r="U28" s="5"/>
    </row>
    <row r="29" spans="1:23" x14ac:dyDescent="0.35">
      <c r="A29">
        <v>2036</v>
      </c>
      <c r="B29">
        <v>19</v>
      </c>
      <c r="C29" s="36">
        <v>0</v>
      </c>
      <c r="D29" s="2">
        <f t="shared" si="5"/>
        <v>923.52834276974863</v>
      </c>
      <c r="E29">
        <f t="shared" si="8"/>
        <v>1227</v>
      </c>
      <c r="F29">
        <f t="shared" si="8"/>
        <v>0</v>
      </c>
      <c r="G29">
        <f t="shared" si="8"/>
        <v>300</v>
      </c>
      <c r="I29" s="5">
        <f t="shared" si="0"/>
        <v>0</v>
      </c>
      <c r="J29" s="23">
        <f t="shared" si="1"/>
        <v>0</v>
      </c>
      <c r="K29" s="10">
        <f t="shared" si="7"/>
        <v>0</v>
      </c>
      <c r="L29" s="5">
        <f t="shared" si="2"/>
        <v>0</v>
      </c>
      <c r="N29" s="5">
        <f t="shared" si="3"/>
        <v>0</v>
      </c>
      <c r="O29" s="5">
        <f t="shared" si="4"/>
        <v>0</v>
      </c>
      <c r="Q29" s="68"/>
      <c r="T29" s="71"/>
      <c r="U29" s="63"/>
    </row>
    <row r="30" spans="1:23" x14ac:dyDescent="0.35">
      <c r="A30">
        <v>2037</v>
      </c>
      <c r="B30">
        <v>20</v>
      </c>
      <c r="C30" s="36">
        <v>0</v>
      </c>
      <c r="D30" s="2">
        <f t="shared" si="5"/>
        <v>923.52834276974863</v>
      </c>
      <c r="E30">
        <f t="shared" si="8"/>
        <v>1227</v>
      </c>
      <c r="F30">
        <f t="shared" si="8"/>
        <v>0</v>
      </c>
      <c r="G30">
        <f t="shared" si="8"/>
        <v>300</v>
      </c>
      <c r="I30" s="5">
        <f t="shared" si="0"/>
        <v>0</v>
      </c>
      <c r="J30" s="23">
        <f t="shared" si="1"/>
        <v>0</v>
      </c>
      <c r="K30" s="10">
        <f t="shared" si="7"/>
        <v>0</v>
      </c>
      <c r="L30" s="5">
        <f t="shared" si="2"/>
        <v>0</v>
      </c>
      <c r="N30" s="5">
        <f t="shared" si="3"/>
        <v>0</v>
      </c>
      <c r="O30" s="5">
        <f t="shared" si="4"/>
        <v>0</v>
      </c>
      <c r="Q30" s="69"/>
      <c r="R30" s="90"/>
      <c r="S30" s="91"/>
      <c r="T30" s="83"/>
      <c r="U30" s="69"/>
    </row>
    <row r="31" spans="1:23" x14ac:dyDescent="0.35">
      <c r="A31">
        <v>2038</v>
      </c>
      <c r="B31">
        <v>21</v>
      </c>
      <c r="C31" s="36">
        <v>0</v>
      </c>
      <c r="D31" s="2">
        <f t="shared" si="5"/>
        <v>923.52834276974863</v>
      </c>
      <c r="E31">
        <f t="shared" si="8"/>
        <v>1227</v>
      </c>
      <c r="F31">
        <f t="shared" si="8"/>
        <v>0</v>
      </c>
      <c r="G31">
        <f t="shared" si="8"/>
        <v>300</v>
      </c>
      <c r="I31" s="5">
        <f t="shared" si="0"/>
        <v>0</v>
      </c>
      <c r="J31" s="23">
        <f t="shared" si="1"/>
        <v>0</v>
      </c>
      <c r="K31" s="10">
        <f t="shared" si="7"/>
        <v>0</v>
      </c>
      <c r="L31" s="5">
        <f t="shared" si="2"/>
        <v>0</v>
      </c>
      <c r="N31" s="5">
        <f t="shared" si="3"/>
        <v>0</v>
      </c>
      <c r="O31" s="5">
        <f t="shared" si="4"/>
        <v>0</v>
      </c>
      <c r="Q31" s="69"/>
      <c r="R31" s="90"/>
      <c r="S31" s="92"/>
      <c r="T31" s="62"/>
      <c r="U31" s="70"/>
    </row>
    <row r="32" spans="1:23" x14ac:dyDescent="0.35">
      <c r="A32">
        <v>2039</v>
      </c>
      <c r="B32">
        <v>22</v>
      </c>
      <c r="C32" s="61">
        <f>'BCA - WTP per ha &amp; per year'!B17/12</f>
        <v>13128.333333333334</v>
      </c>
      <c r="D32" s="2">
        <f t="shared" si="5"/>
        <v>923.52834276974863</v>
      </c>
      <c r="E32">
        <f t="shared" si="8"/>
        <v>1227</v>
      </c>
      <c r="F32">
        <f t="shared" si="8"/>
        <v>0</v>
      </c>
      <c r="G32">
        <f t="shared" si="8"/>
        <v>300</v>
      </c>
      <c r="I32" s="5">
        <f>D32*C32</f>
        <v>12124387.926662184</v>
      </c>
      <c r="J32" s="23">
        <f t="shared" si="1"/>
        <v>0</v>
      </c>
      <c r="K32" s="10">
        <f>(G32*C32)+(E32*(C32-C31))</f>
        <v>20046965</v>
      </c>
      <c r="L32" s="5">
        <f t="shared" si="2"/>
        <v>-3716882.0311700124</v>
      </c>
      <c r="N32" s="5">
        <f t="shared" si="3"/>
        <v>9405046.2744948529</v>
      </c>
      <c r="O32" s="5">
        <f t="shared" si="4"/>
        <v>5688164.2433248395</v>
      </c>
      <c r="Q32" s="69"/>
      <c r="R32" s="68"/>
      <c r="S32" s="63"/>
      <c r="T32" s="63"/>
      <c r="U32" s="71"/>
    </row>
    <row r="33" spans="1:21" x14ac:dyDescent="0.35">
      <c r="A33">
        <v>2040</v>
      </c>
      <c r="B33">
        <v>23</v>
      </c>
      <c r="C33" s="61">
        <f>$C$32+C32</f>
        <v>26256.666666666668</v>
      </c>
      <c r="D33" s="2">
        <f t="shared" si="5"/>
        <v>923.52834276974863</v>
      </c>
      <c r="E33">
        <f t="shared" si="8"/>
        <v>1227</v>
      </c>
      <c r="F33">
        <f t="shared" si="8"/>
        <v>0</v>
      </c>
      <c r="G33">
        <f t="shared" si="8"/>
        <v>300</v>
      </c>
      <c r="I33" s="5">
        <f t="shared" si="0"/>
        <v>24248775.853324369</v>
      </c>
      <c r="J33" s="23">
        <f t="shared" si="1"/>
        <v>0</v>
      </c>
      <c r="K33" s="10">
        <f t="shared" si="7"/>
        <v>23985465</v>
      </c>
      <c r="L33" s="5">
        <f t="shared" si="2"/>
        <v>119355.02697782268</v>
      </c>
      <c r="N33" s="5">
        <f t="shared" si="3"/>
        <v>10872266.699253751</v>
      </c>
      <c r="O33" s="5">
        <f t="shared" si="4"/>
        <v>10991621.726231573</v>
      </c>
      <c r="Q33" s="69"/>
      <c r="R33" s="71"/>
      <c r="S33" s="71"/>
      <c r="T33" s="71"/>
      <c r="U33" s="72"/>
    </row>
    <row r="34" spans="1:21" x14ac:dyDescent="0.35">
      <c r="A34">
        <v>2041</v>
      </c>
      <c r="B34">
        <v>24</v>
      </c>
      <c r="C34" s="61">
        <f>$C$32+C33</f>
        <v>39385</v>
      </c>
      <c r="D34" s="2">
        <f t="shared" si="5"/>
        <v>923.52834276974863</v>
      </c>
      <c r="E34">
        <f t="shared" si="8"/>
        <v>1227</v>
      </c>
      <c r="F34">
        <f t="shared" si="8"/>
        <v>0</v>
      </c>
      <c r="G34">
        <f t="shared" si="8"/>
        <v>300</v>
      </c>
      <c r="I34" s="5">
        <f t="shared" si="0"/>
        <v>36373163.779986553</v>
      </c>
      <c r="J34" s="23">
        <f t="shared" si="1"/>
        <v>0</v>
      </c>
      <c r="K34" s="10">
        <f t="shared" si="7"/>
        <v>27923965</v>
      </c>
      <c r="L34" s="5">
        <f>(I34+J34-K34)/(1+$J$5)^B34</f>
        <v>3700386.8813872961</v>
      </c>
      <c r="N34" s="5">
        <f t="shared" si="3"/>
        <v>12229499.678368611</v>
      </c>
      <c r="O34" s="5">
        <f t="shared" si="4"/>
        <v>15929886.559755908</v>
      </c>
      <c r="Q34" s="68"/>
      <c r="R34" s="69"/>
      <c r="S34" s="83"/>
      <c r="T34" s="83"/>
      <c r="U34" s="62"/>
    </row>
    <row r="35" spans="1:21" x14ac:dyDescent="0.35">
      <c r="A35">
        <v>2042</v>
      </c>
      <c r="B35">
        <v>25</v>
      </c>
      <c r="C35" s="61">
        <f>$C$32+C34</f>
        <v>52513.333333333336</v>
      </c>
      <c r="D35" s="2">
        <f t="shared" si="5"/>
        <v>923.52834276974863</v>
      </c>
      <c r="E35">
        <f t="shared" si="8"/>
        <v>1227</v>
      </c>
      <c r="F35">
        <f t="shared" si="8"/>
        <v>0</v>
      </c>
      <c r="G35">
        <f t="shared" si="8"/>
        <v>300</v>
      </c>
      <c r="I35" s="5">
        <f t="shared" si="0"/>
        <v>48497551.706648737</v>
      </c>
      <c r="J35" s="23">
        <f t="shared" si="1"/>
        <v>0</v>
      </c>
      <c r="K35" s="10">
        <f t="shared" si="7"/>
        <v>31862465.000000004</v>
      </c>
      <c r="L35" s="5">
        <f t="shared" si="2"/>
        <v>7039086.8561636256</v>
      </c>
      <c r="N35" s="5">
        <f t="shared" si="3"/>
        <v>13482506.135470396</v>
      </c>
      <c r="O35" s="5">
        <f t="shared" si="4"/>
        <v>20521592.991634022</v>
      </c>
      <c r="Q35" s="68"/>
      <c r="R35" s="68"/>
      <c r="S35" s="62"/>
      <c r="T35" s="62"/>
      <c r="U35" s="62"/>
    </row>
    <row r="36" spans="1:21" x14ac:dyDescent="0.35">
      <c r="A36">
        <v>2043</v>
      </c>
      <c r="B36">
        <v>26</v>
      </c>
      <c r="C36" s="61">
        <f t="shared" ref="C36:C43" si="9">$C$32+C35</f>
        <v>65641.666666666672</v>
      </c>
      <c r="D36" s="2">
        <f t="shared" si="5"/>
        <v>923.52834276974863</v>
      </c>
      <c r="E36">
        <f t="shared" si="8"/>
        <v>1227</v>
      </c>
      <c r="F36">
        <f t="shared" si="8"/>
        <v>0</v>
      </c>
      <c r="G36">
        <f t="shared" si="8"/>
        <v>300</v>
      </c>
      <c r="I36" s="5">
        <f t="shared" si="0"/>
        <v>60621939.633310921</v>
      </c>
      <c r="J36" s="23">
        <f t="shared" si="1"/>
        <v>0</v>
      </c>
      <c r="K36" s="10">
        <f t="shared" si="7"/>
        <v>35800965</v>
      </c>
      <c r="L36" s="5">
        <f t="shared" si="2"/>
        <v>10147749.4558766</v>
      </c>
      <c r="N36" s="5">
        <f t="shared" si="3"/>
        <v>14636783.142715214</v>
      </c>
      <c r="O36" s="5">
        <f t="shared" si="4"/>
        <v>24784532.598591816</v>
      </c>
      <c r="Q36" s="68"/>
      <c r="R36" s="68"/>
      <c r="S36" s="63"/>
      <c r="T36" s="63"/>
      <c r="U36" s="63"/>
    </row>
    <row r="37" spans="1:21" x14ac:dyDescent="0.35">
      <c r="A37">
        <v>2044</v>
      </c>
      <c r="B37">
        <v>27</v>
      </c>
      <c r="C37" s="61">
        <f t="shared" si="9"/>
        <v>78770</v>
      </c>
      <c r="D37" s="2">
        <f t="shared" si="5"/>
        <v>923.52834276974863</v>
      </c>
      <c r="E37">
        <f t="shared" si="8"/>
        <v>1227</v>
      </c>
      <c r="F37">
        <f t="shared" si="8"/>
        <v>0</v>
      </c>
      <c r="G37">
        <f t="shared" si="8"/>
        <v>300</v>
      </c>
      <c r="I37" s="5">
        <f t="shared" si="0"/>
        <v>72746327.559973106</v>
      </c>
      <c r="J37" s="23">
        <f t="shared" si="1"/>
        <v>0</v>
      </c>
      <c r="K37" s="10">
        <f t="shared" si="7"/>
        <v>39739464.999999993</v>
      </c>
      <c r="L37" s="5">
        <f t="shared" si="2"/>
        <v>13038114.791477924</v>
      </c>
      <c r="N37" s="5">
        <f t="shared" si="3"/>
        <v>15697575.177903889</v>
      </c>
      <c r="O37" s="5">
        <f t="shared" si="4"/>
        <v>28735689.969381813</v>
      </c>
      <c r="Q37" s="68"/>
      <c r="R37" s="63"/>
      <c r="S37" s="63"/>
      <c r="T37" s="63"/>
      <c r="U37" s="63"/>
    </row>
    <row r="38" spans="1:21" x14ac:dyDescent="0.35">
      <c r="A38">
        <v>2045</v>
      </c>
      <c r="B38">
        <v>28</v>
      </c>
      <c r="C38" s="61">
        <f t="shared" si="9"/>
        <v>91898.333333333328</v>
      </c>
      <c r="D38" s="2">
        <f t="shared" si="5"/>
        <v>923.52834276974863</v>
      </c>
      <c r="E38">
        <f t="shared" si="8"/>
        <v>1227</v>
      </c>
      <c r="F38">
        <f t="shared" si="8"/>
        <v>0</v>
      </c>
      <c r="G38">
        <f t="shared" si="8"/>
        <v>300</v>
      </c>
      <c r="I38" s="5">
        <f t="shared" si="0"/>
        <v>84870715.486635283</v>
      </c>
      <c r="J38" s="23">
        <f t="shared" si="1"/>
        <v>0</v>
      </c>
      <c r="K38" s="10">
        <f t="shared" si="7"/>
        <v>43677964.999999993</v>
      </c>
      <c r="L38" s="5">
        <f t="shared" si="2"/>
        <v>15721392.016133582</v>
      </c>
      <c r="N38" s="5">
        <f t="shared" si="3"/>
        <v>16669884.92197796</v>
      </c>
      <c r="O38" s="5">
        <f t="shared" si="4"/>
        <v>32391276.938111544</v>
      </c>
      <c r="Q38" s="69"/>
      <c r="R38" s="71"/>
      <c r="S38" s="71"/>
      <c r="T38" s="71"/>
      <c r="U38" s="71"/>
    </row>
    <row r="39" spans="1:21" x14ac:dyDescent="0.35">
      <c r="A39">
        <v>2046</v>
      </c>
      <c r="B39">
        <v>29</v>
      </c>
      <c r="C39" s="61">
        <f t="shared" si="9"/>
        <v>105026.66666666666</v>
      </c>
      <c r="D39" s="2">
        <f t="shared" si="5"/>
        <v>923.52834276974863</v>
      </c>
      <c r="E39">
        <f t="shared" si="8"/>
        <v>1227</v>
      </c>
      <c r="F39">
        <f t="shared" si="8"/>
        <v>0</v>
      </c>
      <c r="G39">
        <f t="shared" si="8"/>
        <v>300</v>
      </c>
      <c r="I39" s="5">
        <f t="shared" si="0"/>
        <v>96995103.413297459</v>
      </c>
      <c r="J39" s="23">
        <f t="shared" si="1"/>
        <v>0</v>
      </c>
      <c r="K39" s="10">
        <f t="shared" si="7"/>
        <v>47616464.999999993</v>
      </c>
      <c r="L39" s="5">
        <f t="shared" si="2"/>
        <v>18208281.810001254</v>
      </c>
      <c r="N39" s="5">
        <f t="shared" si="3"/>
        <v>17558483.615104664</v>
      </c>
      <c r="O39" s="5">
        <f>(I39+J39)/(1+$J$5)^$B39</f>
        <v>35766765.425105922</v>
      </c>
      <c r="Q39" s="69"/>
      <c r="R39" s="72"/>
      <c r="S39" s="72"/>
      <c r="T39" s="72"/>
      <c r="U39" s="72"/>
    </row>
    <row r="40" spans="1:21" x14ac:dyDescent="0.35">
      <c r="A40">
        <v>2047</v>
      </c>
      <c r="B40">
        <v>30</v>
      </c>
      <c r="C40" s="61">
        <f t="shared" si="9"/>
        <v>118154.99999999999</v>
      </c>
      <c r="D40" s="2">
        <f t="shared" si="5"/>
        <v>923.52834276974863</v>
      </c>
      <c r="E40">
        <f t="shared" si="8"/>
        <v>1227</v>
      </c>
      <c r="F40">
        <f t="shared" si="8"/>
        <v>0</v>
      </c>
      <c r="G40">
        <f t="shared" si="8"/>
        <v>300</v>
      </c>
      <c r="I40" s="5">
        <f t="shared" si="0"/>
        <v>109119491.33995964</v>
      </c>
      <c r="J40" s="23">
        <f t="shared" si="1"/>
        <v>0</v>
      </c>
      <c r="K40" s="10">
        <f t="shared" si="7"/>
        <v>51554964.999999985</v>
      </c>
      <c r="L40" s="5">
        <f t="shared" si="2"/>
        <v>20508997.951475192</v>
      </c>
      <c r="N40" s="5">
        <f t="shared" si="3"/>
        <v>18367920.988857321</v>
      </c>
      <c r="O40" s="5">
        <f t="shared" si="4"/>
        <v>38876918.940332517</v>
      </c>
      <c r="Q40" s="68"/>
      <c r="R40" s="62"/>
      <c r="S40" s="62"/>
      <c r="T40" s="62"/>
      <c r="U40" s="62"/>
    </row>
    <row r="41" spans="1:21" x14ac:dyDescent="0.35">
      <c r="A41">
        <v>2048</v>
      </c>
      <c r="B41">
        <v>31</v>
      </c>
      <c r="C41" s="61">
        <f t="shared" si="9"/>
        <v>131283.33333333331</v>
      </c>
      <c r="D41" s="2">
        <f t="shared" si="5"/>
        <v>923.52834276974863</v>
      </c>
      <c r="E41">
        <f t="shared" si="8"/>
        <v>1227</v>
      </c>
      <c r="F41">
        <f t="shared" si="8"/>
        <v>0</v>
      </c>
      <c r="G41">
        <f t="shared" si="8"/>
        <v>300</v>
      </c>
      <c r="I41" s="5">
        <f t="shared" si="0"/>
        <v>121243879.26662181</v>
      </c>
      <c r="J41" s="23">
        <f t="shared" si="1"/>
        <v>0</v>
      </c>
      <c r="K41" s="10">
        <f t="shared" si="7"/>
        <v>55493464.999999985</v>
      </c>
      <c r="L41" s="5">
        <f>(I41+J41-K41)/(1+$J$6)^B41</f>
        <v>26299320.495664056</v>
      </c>
      <c r="N41" s="5">
        <f>(K41)/(1+$J$6)^$B41</f>
        <v>22196672.640446007</v>
      </c>
      <c r="O41" s="5">
        <f>(I41+J41)/(1+$J$6)^$B41</f>
        <v>48495993.13611006</v>
      </c>
      <c r="Q41" s="68"/>
      <c r="R41" s="62"/>
      <c r="S41" s="62"/>
      <c r="T41" s="62"/>
      <c r="U41" s="62"/>
    </row>
    <row r="42" spans="1:21" x14ac:dyDescent="0.35">
      <c r="A42">
        <v>2049</v>
      </c>
      <c r="B42">
        <v>32</v>
      </c>
      <c r="C42" s="61">
        <f t="shared" si="9"/>
        <v>144411.66666666666</v>
      </c>
      <c r="D42" s="2">
        <f t="shared" si="5"/>
        <v>923.52834276974863</v>
      </c>
      <c r="E42">
        <f t="shared" si="8"/>
        <v>1227</v>
      </c>
      <c r="F42">
        <f t="shared" si="8"/>
        <v>0</v>
      </c>
      <c r="G42">
        <f t="shared" si="8"/>
        <v>300</v>
      </c>
      <c r="I42" s="5">
        <f t="shared" si="0"/>
        <v>133368267.193284</v>
      </c>
      <c r="J42" s="23">
        <f t="shared" si="1"/>
        <v>0</v>
      </c>
      <c r="K42" s="10">
        <f t="shared" si="7"/>
        <v>59431965.000000015</v>
      </c>
      <c r="L42" s="5">
        <f>(I42+J42-K42)/(1+$J$6)^B42</f>
        <v>28712204.308794338</v>
      </c>
      <c r="N42" s="5">
        <f>(K42)/(1+$J$6)^$B42</f>
        <v>23079633.021031957</v>
      </c>
      <c r="O42" s="5">
        <f>(I42+J42)/(1+$J$6)^$B42</f>
        <v>51791837.329826295</v>
      </c>
      <c r="Q42" s="68"/>
      <c r="R42" s="63"/>
      <c r="S42" s="63"/>
      <c r="T42" s="63"/>
      <c r="U42" s="63"/>
    </row>
    <row r="43" spans="1:21" x14ac:dyDescent="0.35">
      <c r="A43">
        <v>2050</v>
      </c>
      <c r="B43">
        <v>33</v>
      </c>
      <c r="C43" s="61">
        <f t="shared" si="9"/>
        <v>157540</v>
      </c>
      <c r="D43" s="2">
        <f t="shared" si="5"/>
        <v>923.52834276974863</v>
      </c>
      <c r="E43">
        <f t="shared" si="8"/>
        <v>1227</v>
      </c>
      <c r="F43">
        <f t="shared" si="8"/>
        <v>0</v>
      </c>
      <c r="G43">
        <f t="shared" si="8"/>
        <v>300</v>
      </c>
      <c r="I43" s="5">
        <f>D43*C43</f>
        <v>145492655.11994621</v>
      </c>
      <c r="J43" s="23">
        <f t="shared" si="1"/>
        <v>0</v>
      </c>
      <c r="K43" s="10">
        <f t="shared" si="7"/>
        <v>63370465.000000015</v>
      </c>
      <c r="L43" s="5">
        <f>(I43+J43-K43)/(1+$J$6)^B43</f>
        <v>30962221.114574693</v>
      </c>
      <c r="N43" s="5">
        <f>(K43)/(1+$J$6)^$B43</f>
        <v>23892328.572796501</v>
      </c>
      <c r="O43" s="5">
        <f>(I43+J43)/(1+$J$6)^$B43</f>
        <v>54854549.687371194</v>
      </c>
      <c r="Q43" s="68"/>
      <c r="R43" s="63"/>
      <c r="S43" s="63"/>
      <c r="T43" s="63"/>
      <c r="U43" s="63"/>
    </row>
    <row r="44" spans="1:21" ht="15" thickBot="1" x14ac:dyDescent="0.4"/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170740228.67735639</v>
      </c>
      <c r="N45" s="5">
        <f>SUM(N10:N43)</f>
        <v>198088600.86842111</v>
      </c>
      <c r="O45" s="5">
        <f>SUM(O10:O43)</f>
        <v>368828829.5457775</v>
      </c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1.8619386876823332</v>
      </c>
    </row>
    <row r="49" spans="3:15" x14ac:dyDescent="0.35">
      <c r="C49" s="36"/>
      <c r="D49" s="2"/>
      <c r="I49" s="5"/>
      <c r="J49" s="39"/>
      <c r="K49" s="5"/>
      <c r="L49" s="5"/>
      <c r="N49" s="5"/>
      <c r="O49" s="5"/>
    </row>
    <row r="50" spans="3:15" x14ac:dyDescent="0.35">
      <c r="C50" s="142" t="s">
        <v>166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5"/>
    </row>
    <row r="51" spans="3:15" x14ac:dyDescent="0.35"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5"/>
    </row>
  </sheetData>
  <mergeCells count="18">
    <mergeCell ref="V23:W23"/>
    <mergeCell ref="T24:U24"/>
    <mergeCell ref="V24:W24"/>
    <mergeCell ref="V9:W9"/>
    <mergeCell ref="T17:U17"/>
    <mergeCell ref="V17:W17"/>
    <mergeCell ref="T18:U18"/>
    <mergeCell ref="V18:W18"/>
    <mergeCell ref="T9:U9"/>
    <mergeCell ref="T23:U23"/>
    <mergeCell ref="C50:N51"/>
    <mergeCell ref="I46:J46"/>
    <mergeCell ref="I8:J8"/>
    <mergeCell ref="R17:S17"/>
    <mergeCell ref="R18:S18"/>
    <mergeCell ref="R9:S9"/>
    <mergeCell ref="R24:S24"/>
    <mergeCell ref="R23:S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80" zoomScaleNormal="80" workbookViewId="0">
      <selection activeCell="B6" sqref="B6"/>
    </sheetView>
  </sheetViews>
  <sheetFormatPr defaultRowHeight="14.5" x14ac:dyDescent="0.35"/>
  <cols>
    <col min="3" max="3" width="11" bestFit="1" customWidth="1"/>
    <col min="4" max="4" width="10.26953125" customWidth="1"/>
    <col min="6" max="6" width="11.26953125" customWidth="1"/>
    <col min="7" max="7" width="11.7265625" customWidth="1"/>
    <col min="8" max="8" width="14.7265625" customWidth="1"/>
    <col min="9" max="9" width="18.54296875" customWidth="1"/>
    <col min="10" max="11" width="17.7265625" bestFit="1" customWidth="1"/>
    <col min="12" max="12" width="26.453125" bestFit="1" customWidth="1"/>
    <col min="14" max="14" width="22" bestFit="1" customWidth="1"/>
    <col min="15" max="15" width="25" bestFit="1" customWidth="1"/>
    <col min="17" max="17" width="19.81640625" customWidth="1"/>
    <col min="18" max="18" width="29.7265625" customWidth="1"/>
    <col min="19" max="19" width="29.26953125" customWidth="1"/>
    <col min="20" max="20" width="32" bestFit="1" customWidth="1"/>
    <col min="21" max="21" width="26.7265625" bestFit="1" customWidth="1"/>
    <col min="22" max="22" width="32" bestFit="1" customWidth="1"/>
    <col min="23" max="23" width="22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187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Q9" s="38"/>
      <c r="R9" s="153" t="s">
        <v>70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v>0</v>
      </c>
      <c r="D10" s="87">
        <f>V12</f>
        <v>876.39339268018489</v>
      </c>
      <c r="E10" s="88">
        <v>1227</v>
      </c>
      <c r="F10">
        <v>0</v>
      </c>
      <c r="G10" s="88">
        <v>300</v>
      </c>
      <c r="I10" s="5">
        <f>D10*C10</f>
        <v>0</v>
      </c>
      <c r="J10" s="39">
        <f>$S$11</f>
        <v>0</v>
      </c>
      <c r="K10" s="89">
        <f>(G10*C10)+(E10*C10)</f>
        <v>0</v>
      </c>
      <c r="L10" s="5">
        <f>(I10+J10-K10)/(1+$J$5)^B10</f>
        <v>0</v>
      </c>
      <c r="N10" s="5">
        <f>(K10)/(1+$J$5)^$B10</f>
        <v>0</v>
      </c>
      <c r="O10" s="5">
        <f>(I10+J10)/(1+$J$5)^$B10</f>
        <v>0</v>
      </c>
      <c r="R10" s="76" t="s">
        <v>71</v>
      </c>
      <c r="S10" s="28" t="s">
        <v>81</v>
      </c>
      <c r="T10" s="76" t="s">
        <v>71</v>
      </c>
      <c r="U10" s="28" t="s">
        <v>81</v>
      </c>
      <c r="V10" s="76" t="s">
        <v>71</v>
      </c>
      <c r="W10" s="28" t="s">
        <v>81</v>
      </c>
    </row>
    <row r="11" spans="1:23" ht="15" thickBot="1" x14ac:dyDescent="0.4">
      <c r="A11">
        <v>2018</v>
      </c>
      <c r="B11">
        <v>1</v>
      </c>
      <c r="C11" s="36">
        <v>0</v>
      </c>
      <c r="D11" s="2">
        <f>$D$10</f>
        <v>876.39339268018489</v>
      </c>
      <c r="E11">
        <f>E10</f>
        <v>1227</v>
      </c>
      <c r="F11">
        <v>0</v>
      </c>
      <c r="G11">
        <f>G10</f>
        <v>300</v>
      </c>
      <c r="I11" s="5">
        <f t="shared" ref="I11:I31" si="0">D11*C11</f>
        <v>0</v>
      </c>
      <c r="J11" s="39">
        <f t="shared" ref="J11:J43" si="1">$S$11</f>
        <v>0</v>
      </c>
      <c r="K11" s="89">
        <f>(G11*C11)+(E11*(C11-C10))</f>
        <v>0</v>
      </c>
      <c r="L11" s="5">
        <f t="shared" ref="L11:L40" si="2">(I11+J11-K11)/(1+$J$5)^B11</f>
        <v>0</v>
      </c>
      <c r="N11" s="5">
        <f t="shared" ref="N11:N40" si="3">(K11)/(1+$J$5)^$B11</f>
        <v>0</v>
      </c>
      <c r="O11" s="5">
        <f t="shared" ref="O11:O40" si="4">(I11+J11)/(1+$J$5)^$B11</f>
        <v>0</v>
      </c>
      <c r="Q11" t="s">
        <v>43</v>
      </c>
      <c r="R11" s="44">
        <f>'BCA - WTP per ha &amp; per year'!C19</f>
        <v>621.99540270156876</v>
      </c>
      <c r="S11" s="44">
        <v>0</v>
      </c>
      <c r="T11" s="44">
        <f>'BCA - WTP per ha &amp; per year'!$C$35</f>
        <v>523.35170263129999</v>
      </c>
      <c r="U11" s="44">
        <v>0</v>
      </c>
      <c r="V11" s="44">
        <f>'BCA - WTP per ha &amp; per year'!$C$60</f>
        <v>720.63910277183743</v>
      </c>
      <c r="W11" s="44">
        <v>0</v>
      </c>
    </row>
    <row r="12" spans="1:23" ht="15" thickBot="1" x14ac:dyDescent="0.4">
      <c r="A12">
        <v>2019</v>
      </c>
      <c r="B12">
        <v>2</v>
      </c>
      <c r="C12" s="36">
        <v>0</v>
      </c>
      <c r="D12" s="2">
        <f t="shared" ref="D12:D43" si="5">$D$10</f>
        <v>876.39339268018489</v>
      </c>
      <c r="E12">
        <f t="shared" ref="E12:G27" si="6">E11</f>
        <v>1227</v>
      </c>
      <c r="F12">
        <f t="shared" si="6"/>
        <v>0</v>
      </c>
      <c r="G12">
        <f t="shared" si="6"/>
        <v>300</v>
      </c>
      <c r="I12" s="5">
        <f t="shared" si="0"/>
        <v>0</v>
      </c>
      <c r="J12" s="39">
        <f t="shared" si="1"/>
        <v>0</v>
      </c>
      <c r="K12" s="5">
        <f t="shared" ref="K12:K43" si="7">(G12*C12)+(E12*(C12-C11))</f>
        <v>0</v>
      </c>
      <c r="L12" s="5">
        <f t="shared" si="2"/>
        <v>0</v>
      </c>
      <c r="N12" s="5">
        <f t="shared" si="3"/>
        <v>0</v>
      </c>
      <c r="O12" s="5">
        <f t="shared" si="4"/>
        <v>0</v>
      </c>
      <c r="Q12" t="s">
        <v>44</v>
      </c>
      <c r="R12" s="44">
        <f>'BCA - WTP per ha &amp; per year'!F19</f>
        <v>731.69800259096951</v>
      </c>
      <c r="S12" s="82">
        <v>0</v>
      </c>
      <c r="T12" s="44">
        <f>'BCA - WTP per ha &amp; per year'!$F$35</f>
        <v>587.00261250175402</v>
      </c>
      <c r="U12" s="82">
        <v>0</v>
      </c>
      <c r="V12" s="44">
        <f>'BCA - WTP per ha &amp; per year'!$F$60</f>
        <v>876.39339268018489</v>
      </c>
      <c r="W12" s="82">
        <v>0</v>
      </c>
    </row>
    <row r="13" spans="1:23" x14ac:dyDescent="0.35">
      <c r="A13">
        <v>2020</v>
      </c>
      <c r="B13">
        <v>3</v>
      </c>
      <c r="C13" s="36">
        <v>0</v>
      </c>
      <c r="D13" s="2">
        <f t="shared" si="5"/>
        <v>876.39339268018489</v>
      </c>
      <c r="E13">
        <f t="shared" si="6"/>
        <v>1227</v>
      </c>
      <c r="F13">
        <f t="shared" si="6"/>
        <v>0</v>
      </c>
      <c r="G13">
        <f t="shared" si="6"/>
        <v>300</v>
      </c>
      <c r="I13" s="5">
        <f t="shared" si="0"/>
        <v>0</v>
      </c>
      <c r="J13" s="39">
        <f t="shared" si="1"/>
        <v>0</v>
      </c>
      <c r="K13" s="5">
        <f t="shared" si="7"/>
        <v>0</v>
      </c>
      <c r="L13" s="5">
        <f t="shared" si="2"/>
        <v>0</v>
      </c>
      <c r="N13" s="5">
        <f t="shared" si="3"/>
        <v>0</v>
      </c>
      <c r="O13" s="5">
        <f t="shared" si="4"/>
        <v>0</v>
      </c>
      <c r="S13" s="26"/>
      <c r="T13" s="2"/>
    </row>
    <row r="14" spans="1:23" x14ac:dyDescent="0.35">
      <c r="A14">
        <v>2021</v>
      </c>
      <c r="B14">
        <v>4</v>
      </c>
      <c r="C14" s="36">
        <v>0</v>
      </c>
      <c r="D14" s="2">
        <f t="shared" si="5"/>
        <v>876.39339268018489</v>
      </c>
      <c r="E14">
        <f t="shared" si="6"/>
        <v>1227</v>
      </c>
      <c r="F14">
        <f t="shared" si="6"/>
        <v>0</v>
      </c>
      <c r="G14">
        <f t="shared" si="6"/>
        <v>300</v>
      </c>
      <c r="I14" s="5">
        <f t="shared" si="0"/>
        <v>0</v>
      </c>
      <c r="J14" s="39">
        <f t="shared" si="1"/>
        <v>0</v>
      </c>
      <c r="K14" s="5">
        <f t="shared" si="7"/>
        <v>0</v>
      </c>
      <c r="L14" s="5">
        <f t="shared" si="2"/>
        <v>0</v>
      </c>
      <c r="N14" s="5">
        <f t="shared" si="3"/>
        <v>0</v>
      </c>
      <c r="O14" s="5">
        <f t="shared" si="4"/>
        <v>0</v>
      </c>
      <c r="T14" s="2"/>
    </row>
    <row r="15" spans="1:23" x14ac:dyDescent="0.35">
      <c r="A15">
        <v>2022</v>
      </c>
      <c r="B15">
        <v>5</v>
      </c>
      <c r="C15" s="36">
        <v>0</v>
      </c>
      <c r="D15" s="2">
        <f t="shared" si="5"/>
        <v>876.39339268018489</v>
      </c>
      <c r="E15">
        <f t="shared" si="6"/>
        <v>1227</v>
      </c>
      <c r="F15">
        <f t="shared" si="6"/>
        <v>0</v>
      </c>
      <c r="G15">
        <f t="shared" si="6"/>
        <v>300</v>
      </c>
      <c r="I15" s="5">
        <f t="shared" si="0"/>
        <v>0</v>
      </c>
      <c r="J15" s="39">
        <f t="shared" si="1"/>
        <v>0</v>
      </c>
      <c r="K15" s="5">
        <f t="shared" si="7"/>
        <v>0</v>
      </c>
      <c r="L15" s="5">
        <f t="shared" si="2"/>
        <v>0</v>
      </c>
      <c r="N15" s="5">
        <f t="shared" si="3"/>
        <v>0</v>
      </c>
      <c r="O15" s="5">
        <f t="shared" si="4"/>
        <v>0</v>
      </c>
      <c r="T15" s="2"/>
    </row>
    <row r="16" spans="1:23" x14ac:dyDescent="0.35">
      <c r="A16">
        <v>2023</v>
      </c>
      <c r="B16">
        <v>6</v>
      </c>
      <c r="C16" s="36">
        <v>0</v>
      </c>
      <c r="D16" s="2">
        <f t="shared" si="5"/>
        <v>876.39339268018489</v>
      </c>
      <c r="E16">
        <f t="shared" si="6"/>
        <v>1227</v>
      </c>
      <c r="F16">
        <f t="shared" si="6"/>
        <v>0</v>
      </c>
      <c r="G16">
        <f t="shared" si="6"/>
        <v>300</v>
      </c>
      <c r="I16" s="5">
        <f t="shared" si="0"/>
        <v>0</v>
      </c>
      <c r="J16" s="39">
        <f t="shared" si="1"/>
        <v>0</v>
      </c>
      <c r="K16" s="5">
        <f t="shared" si="7"/>
        <v>0</v>
      </c>
      <c r="L16" s="5">
        <f t="shared" si="2"/>
        <v>0</v>
      </c>
      <c r="N16" s="5">
        <f t="shared" si="3"/>
        <v>0</v>
      </c>
      <c r="O16" s="5">
        <f t="shared" si="4"/>
        <v>0</v>
      </c>
      <c r="T16" s="2"/>
    </row>
    <row r="17" spans="1:23" x14ac:dyDescent="0.35">
      <c r="A17">
        <v>2024</v>
      </c>
      <c r="B17">
        <v>7</v>
      </c>
      <c r="C17" s="36">
        <v>0</v>
      </c>
      <c r="D17" s="2">
        <f t="shared" si="5"/>
        <v>876.39339268018489</v>
      </c>
      <c r="E17">
        <f t="shared" si="6"/>
        <v>1227</v>
      </c>
      <c r="F17">
        <f t="shared" si="6"/>
        <v>0</v>
      </c>
      <c r="G17">
        <f t="shared" si="6"/>
        <v>300</v>
      </c>
      <c r="I17" s="5">
        <f t="shared" si="0"/>
        <v>0</v>
      </c>
      <c r="J17" s="39">
        <f t="shared" si="1"/>
        <v>0</v>
      </c>
      <c r="K17" s="5">
        <f t="shared" si="7"/>
        <v>0</v>
      </c>
      <c r="L17" s="5">
        <f t="shared" si="2"/>
        <v>0</v>
      </c>
      <c r="N17" s="5">
        <f t="shared" si="3"/>
        <v>0</v>
      </c>
      <c r="O17" s="5">
        <f t="shared" si="4"/>
        <v>0</v>
      </c>
      <c r="Q17" s="69"/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v>0</v>
      </c>
      <c r="D18" s="2">
        <f t="shared" si="5"/>
        <v>876.39339268018489</v>
      </c>
      <c r="E18">
        <f t="shared" si="6"/>
        <v>1227</v>
      </c>
      <c r="F18">
        <f t="shared" si="6"/>
        <v>0</v>
      </c>
      <c r="G18">
        <f t="shared" si="6"/>
        <v>300</v>
      </c>
      <c r="I18" s="5">
        <f t="shared" si="0"/>
        <v>0</v>
      </c>
      <c r="J18" s="39">
        <f t="shared" si="1"/>
        <v>0</v>
      </c>
      <c r="K18" s="5">
        <f t="shared" si="7"/>
        <v>0</v>
      </c>
      <c r="L18" s="5">
        <f t="shared" si="2"/>
        <v>0</v>
      </c>
      <c r="N18" s="5">
        <f t="shared" si="3"/>
        <v>0</v>
      </c>
      <c r="O18" s="5">
        <f t="shared" si="4"/>
        <v>0</v>
      </c>
      <c r="Q18" s="69"/>
      <c r="R18" s="150" t="s">
        <v>72</v>
      </c>
      <c r="S18" s="150"/>
      <c r="T18" s="150" t="s">
        <v>96</v>
      </c>
      <c r="U18" s="150"/>
      <c r="V18" s="150" t="s">
        <v>98</v>
      </c>
      <c r="W18" s="150"/>
    </row>
    <row r="19" spans="1:23" x14ac:dyDescent="0.35">
      <c r="A19">
        <v>2026</v>
      </c>
      <c r="B19">
        <v>9</v>
      </c>
      <c r="C19" s="36">
        <v>0</v>
      </c>
      <c r="D19" s="2">
        <f t="shared" si="5"/>
        <v>876.39339268018489</v>
      </c>
      <c r="E19">
        <f t="shared" si="6"/>
        <v>1227</v>
      </c>
      <c r="F19">
        <f t="shared" si="6"/>
        <v>0</v>
      </c>
      <c r="G19">
        <f t="shared" si="6"/>
        <v>300</v>
      </c>
      <c r="I19" s="5">
        <f t="shared" si="0"/>
        <v>0</v>
      </c>
      <c r="J19" s="39">
        <f t="shared" si="1"/>
        <v>0</v>
      </c>
      <c r="K19" s="5">
        <f t="shared" si="7"/>
        <v>0</v>
      </c>
      <c r="L19" s="5">
        <f t="shared" si="2"/>
        <v>0</v>
      </c>
      <c r="N19" s="5">
        <f t="shared" si="3"/>
        <v>0</v>
      </c>
      <c r="O19" s="5">
        <f t="shared" si="4"/>
        <v>0</v>
      </c>
      <c r="Q19" s="69"/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v>0</v>
      </c>
      <c r="D20" s="2">
        <f t="shared" si="5"/>
        <v>876.39339268018489</v>
      </c>
      <c r="E20">
        <f t="shared" si="6"/>
        <v>1227</v>
      </c>
      <c r="F20">
        <f t="shared" si="6"/>
        <v>0</v>
      </c>
      <c r="G20">
        <f t="shared" si="6"/>
        <v>300</v>
      </c>
      <c r="I20" s="5">
        <f t="shared" si="0"/>
        <v>0</v>
      </c>
      <c r="J20" s="39">
        <f t="shared" si="1"/>
        <v>0</v>
      </c>
      <c r="K20" s="5">
        <f t="shared" si="7"/>
        <v>0</v>
      </c>
      <c r="L20" s="5">
        <f t="shared" si="2"/>
        <v>0</v>
      </c>
      <c r="N20" s="5">
        <f t="shared" si="3"/>
        <v>0</v>
      </c>
      <c r="O20" s="5">
        <f t="shared" si="4"/>
        <v>0</v>
      </c>
      <c r="Q20" s="68"/>
      <c r="R20" s="32" t="s">
        <v>50</v>
      </c>
      <c r="S20" s="37">
        <v>1.2540138187608842</v>
      </c>
      <c r="T20" s="32" t="s">
        <v>50</v>
      </c>
      <c r="U20" s="37">
        <v>1.0551368455798265</v>
      </c>
      <c r="V20" s="32" t="s">
        <v>50</v>
      </c>
      <c r="W20" s="37">
        <v>1.4528907919419416</v>
      </c>
    </row>
    <row r="21" spans="1:23" x14ac:dyDescent="0.35">
      <c r="A21">
        <v>2028</v>
      </c>
      <c r="B21">
        <v>11</v>
      </c>
      <c r="C21" s="36">
        <v>0</v>
      </c>
      <c r="D21" s="2">
        <f t="shared" si="5"/>
        <v>876.39339268018489</v>
      </c>
      <c r="E21">
        <f t="shared" si="6"/>
        <v>1227</v>
      </c>
      <c r="F21">
        <f t="shared" si="6"/>
        <v>0</v>
      </c>
      <c r="G21">
        <f t="shared" si="6"/>
        <v>300</v>
      </c>
      <c r="I21" s="5">
        <f t="shared" si="0"/>
        <v>0</v>
      </c>
      <c r="J21" s="39">
        <f t="shared" si="1"/>
        <v>0</v>
      </c>
      <c r="K21" s="5">
        <f t="shared" si="7"/>
        <v>0</v>
      </c>
      <c r="L21" s="5">
        <f t="shared" si="2"/>
        <v>0</v>
      </c>
      <c r="N21" s="5">
        <f t="shared" si="3"/>
        <v>0</v>
      </c>
      <c r="O21" s="5">
        <f t="shared" si="4"/>
        <v>0</v>
      </c>
      <c r="Q21" s="68"/>
      <c r="R21" s="32" t="s">
        <v>51</v>
      </c>
      <c r="S21" s="58">
        <v>100634483.91917647</v>
      </c>
      <c r="T21" s="32" t="s">
        <v>51</v>
      </c>
      <c r="U21" s="58">
        <v>21843961.194412015</v>
      </c>
      <c r="V21" s="32" t="s">
        <v>51</v>
      </c>
      <c r="W21" s="58">
        <v>179425006.64394084</v>
      </c>
    </row>
    <row r="22" spans="1:23" x14ac:dyDescent="0.35">
      <c r="A22">
        <v>2029</v>
      </c>
      <c r="B22">
        <v>12</v>
      </c>
      <c r="C22" s="36">
        <v>0</v>
      </c>
      <c r="D22" s="2">
        <f t="shared" si="5"/>
        <v>876.39339268018489</v>
      </c>
      <c r="E22">
        <f t="shared" si="6"/>
        <v>1227</v>
      </c>
      <c r="F22">
        <f t="shared" si="6"/>
        <v>0</v>
      </c>
      <c r="G22">
        <f t="shared" si="6"/>
        <v>300</v>
      </c>
      <c r="I22" s="5">
        <f t="shared" si="0"/>
        <v>0</v>
      </c>
      <c r="J22" s="39">
        <f t="shared" si="1"/>
        <v>0</v>
      </c>
      <c r="K22" s="5">
        <f t="shared" si="7"/>
        <v>0</v>
      </c>
      <c r="L22" s="5">
        <f t="shared" si="2"/>
        <v>0</v>
      </c>
      <c r="N22" s="5">
        <f t="shared" si="3"/>
        <v>0</v>
      </c>
      <c r="O22" s="5">
        <f t="shared" si="4"/>
        <v>0</v>
      </c>
      <c r="Q22" s="68"/>
      <c r="R22" s="90"/>
      <c r="S22" s="91"/>
      <c r="U22" s="26"/>
      <c r="W22" s="26"/>
    </row>
    <row r="23" spans="1:23" x14ac:dyDescent="0.35">
      <c r="A23">
        <v>2030</v>
      </c>
      <c r="B23">
        <v>13</v>
      </c>
      <c r="C23" s="36">
        <v>0</v>
      </c>
      <c r="D23" s="2">
        <f t="shared" si="5"/>
        <v>876.39339268018489</v>
      </c>
      <c r="E23">
        <f t="shared" si="6"/>
        <v>1227</v>
      </c>
      <c r="F23">
        <f t="shared" si="6"/>
        <v>0</v>
      </c>
      <c r="G23">
        <f t="shared" si="6"/>
        <v>300</v>
      </c>
      <c r="I23" s="5">
        <f t="shared" si="0"/>
        <v>0</v>
      </c>
      <c r="J23" s="39">
        <f t="shared" si="1"/>
        <v>0</v>
      </c>
      <c r="K23" s="5">
        <f t="shared" si="7"/>
        <v>0</v>
      </c>
      <c r="L23" s="5">
        <f t="shared" si="2"/>
        <v>0</v>
      </c>
      <c r="N23" s="5">
        <f t="shared" si="3"/>
        <v>0</v>
      </c>
      <c r="O23" s="5">
        <f t="shared" si="4"/>
        <v>0</v>
      </c>
      <c r="Q23" s="68"/>
      <c r="R23" s="152" t="s">
        <v>13</v>
      </c>
      <c r="S23" s="152"/>
      <c r="T23" s="152" t="s">
        <v>13</v>
      </c>
      <c r="U23" s="152"/>
      <c r="V23" s="152" t="s">
        <v>13</v>
      </c>
      <c r="W23" s="152"/>
    </row>
    <row r="24" spans="1:23" x14ac:dyDescent="0.35">
      <c r="A24">
        <v>2031</v>
      </c>
      <c r="B24">
        <v>14</v>
      </c>
      <c r="C24" s="36">
        <v>0</v>
      </c>
      <c r="D24" s="2">
        <f t="shared" si="5"/>
        <v>876.39339268018489</v>
      </c>
      <c r="E24">
        <f t="shared" si="6"/>
        <v>1227</v>
      </c>
      <c r="F24">
        <f t="shared" si="6"/>
        <v>0</v>
      </c>
      <c r="G24">
        <f t="shared" si="6"/>
        <v>300</v>
      </c>
      <c r="I24" s="5">
        <f t="shared" si="0"/>
        <v>0</v>
      </c>
      <c r="J24" s="39">
        <f t="shared" si="1"/>
        <v>0</v>
      </c>
      <c r="K24" s="5">
        <f t="shared" si="7"/>
        <v>0</v>
      </c>
      <c r="L24" s="5">
        <f t="shared" si="2"/>
        <v>0</v>
      </c>
      <c r="N24" s="5">
        <f t="shared" si="3"/>
        <v>0</v>
      </c>
      <c r="O24" s="5">
        <f t="shared" si="4"/>
        <v>0</v>
      </c>
      <c r="Q24" s="69"/>
      <c r="R24" s="150" t="s">
        <v>73</v>
      </c>
      <c r="S24" s="150"/>
      <c r="T24" s="150" t="s">
        <v>97</v>
      </c>
      <c r="U24" s="150"/>
      <c r="V24" s="150" t="s">
        <v>99</v>
      </c>
      <c r="W24" s="150"/>
    </row>
    <row r="25" spans="1:23" x14ac:dyDescent="0.35">
      <c r="A25">
        <v>2032</v>
      </c>
      <c r="B25">
        <v>15</v>
      </c>
      <c r="C25" s="36">
        <v>0</v>
      </c>
      <c r="D25" s="2">
        <f t="shared" si="5"/>
        <v>876.39339268018489</v>
      </c>
      <c r="E25">
        <f t="shared" si="6"/>
        <v>1227</v>
      </c>
      <c r="F25">
        <f t="shared" si="6"/>
        <v>0</v>
      </c>
      <c r="G25">
        <f t="shared" si="6"/>
        <v>300</v>
      </c>
      <c r="I25" s="5">
        <f t="shared" si="0"/>
        <v>0</v>
      </c>
      <c r="J25" s="39">
        <f t="shared" si="1"/>
        <v>0</v>
      </c>
      <c r="K25" s="5">
        <f t="shared" si="7"/>
        <v>0</v>
      </c>
      <c r="L25" s="5">
        <f t="shared" si="2"/>
        <v>0</v>
      </c>
      <c r="N25" s="5">
        <f t="shared" si="3"/>
        <v>0</v>
      </c>
      <c r="O25" s="5">
        <f t="shared" si="4"/>
        <v>0</v>
      </c>
      <c r="Q25" s="69"/>
      <c r="S25" s="66" t="s">
        <v>65</v>
      </c>
      <c r="U25" s="66" t="s">
        <v>65</v>
      </c>
      <c r="W25" s="66" t="s">
        <v>65</v>
      </c>
    </row>
    <row r="26" spans="1:23" x14ac:dyDescent="0.35">
      <c r="A26">
        <v>2033</v>
      </c>
      <c r="B26">
        <v>16</v>
      </c>
      <c r="C26" s="36">
        <v>0</v>
      </c>
      <c r="D26" s="2">
        <f t="shared" si="5"/>
        <v>876.39339268018489</v>
      </c>
      <c r="E26">
        <f t="shared" si="6"/>
        <v>1227</v>
      </c>
      <c r="F26">
        <f t="shared" si="6"/>
        <v>0</v>
      </c>
      <c r="G26">
        <f t="shared" si="6"/>
        <v>300</v>
      </c>
      <c r="I26" s="5">
        <f t="shared" si="0"/>
        <v>0</v>
      </c>
      <c r="J26" s="39">
        <f t="shared" si="1"/>
        <v>0</v>
      </c>
      <c r="K26" s="5">
        <f t="shared" si="7"/>
        <v>0</v>
      </c>
      <c r="L26" s="5">
        <f t="shared" si="2"/>
        <v>0</v>
      </c>
      <c r="N26" s="5">
        <f t="shared" si="3"/>
        <v>0</v>
      </c>
      <c r="O26" s="5">
        <f t="shared" si="4"/>
        <v>0</v>
      </c>
      <c r="Q26" s="68"/>
      <c r="R26" s="32" t="s">
        <v>50</v>
      </c>
      <c r="S26" s="37">
        <v>1.4751867978822584</v>
      </c>
      <c r="T26" s="32" t="s">
        <v>50</v>
      </c>
      <c r="U26" s="37">
        <v>1.1834643544449519</v>
      </c>
      <c r="V26" s="32" t="s">
        <v>50</v>
      </c>
      <c r="W26" s="37">
        <v>1.7669092413195646</v>
      </c>
    </row>
    <row r="27" spans="1:23" x14ac:dyDescent="0.35">
      <c r="A27">
        <v>2034</v>
      </c>
      <c r="B27">
        <v>17</v>
      </c>
      <c r="C27" s="36">
        <v>0</v>
      </c>
      <c r="D27" s="2">
        <f t="shared" si="5"/>
        <v>876.39339268018489</v>
      </c>
      <c r="E27">
        <f t="shared" si="6"/>
        <v>1227</v>
      </c>
      <c r="F27">
        <f t="shared" si="6"/>
        <v>0</v>
      </c>
      <c r="G27">
        <f t="shared" si="6"/>
        <v>300</v>
      </c>
      <c r="I27" s="5">
        <f t="shared" si="0"/>
        <v>0</v>
      </c>
      <c r="J27" s="39">
        <f t="shared" si="1"/>
        <v>0</v>
      </c>
      <c r="K27" s="5">
        <f t="shared" si="7"/>
        <v>0</v>
      </c>
      <c r="L27" s="5">
        <f t="shared" si="2"/>
        <v>0</v>
      </c>
      <c r="N27" s="5">
        <f t="shared" si="3"/>
        <v>0</v>
      </c>
      <c r="O27" s="5">
        <f t="shared" si="4"/>
        <v>0</v>
      </c>
      <c r="Q27" s="68"/>
      <c r="R27" s="32" t="s">
        <v>51</v>
      </c>
      <c r="S27" s="58">
        <v>188258175.88728353</v>
      </c>
      <c r="T27" s="32" t="s">
        <v>51</v>
      </c>
      <c r="U27" s="58">
        <v>72684394.562457293</v>
      </c>
      <c r="V27" s="32" t="s">
        <v>51</v>
      </c>
      <c r="W27" s="58">
        <v>303831957.21210963</v>
      </c>
    </row>
    <row r="28" spans="1:23" x14ac:dyDescent="0.35">
      <c r="A28">
        <v>2035</v>
      </c>
      <c r="B28">
        <v>18</v>
      </c>
      <c r="C28" s="36">
        <v>0</v>
      </c>
      <c r="D28" s="2">
        <f t="shared" si="5"/>
        <v>876.39339268018489</v>
      </c>
      <c r="E28">
        <f t="shared" ref="E28:G43" si="8">E27</f>
        <v>1227</v>
      </c>
      <c r="F28">
        <f t="shared" si="8"/>
        <v>0</v>
      </c>
      <c r="G28">
        <f t="shared" si="8"/>
        <v>300</v>
      </c>
      <c r="I28" s="5">
        <f t="shared" si="0"/>
        <v>0</v>
      </c>
      <c r="J28" s="39">
        <f t="shared" si="1"/>
        <v>0</v>
      </c>
      <c r="K28" s="5">
        <f t="shared" si="7"/>
        <v>0</v>
      </c>
      <c r="L28" s="5">
        <f t="shared" si="2"/>
        <v>0</v>
      </c>
      <c r="N28" s="5">
        <f t="shared" si="3"/>
        <v>0</v>
      </c>
      <c r="O28" s="5">
        <f t="shared" si="4"/>
        <v>0</v>
      </c>
      <c r="Q28" s="68"/>
      <c r="R28" s="70"/>
      <c r="S28" s="70"/>
      <c r="T28" s="70"/>
      <c r="U28" s="63"/>
    </row>
    <row r="29" spans="1:23" x14ac:dyDescent="0.35">
      <c r="A29">
        <v>2036</v>
      </c>
      <c r="B29">
        <v>19</v>
      </c>
      <c r="C29" s="36">
        <v>0</v>
      </c>
      <c r="D29" s="2">
        <f t="shared" si="5"/>
        <v>876.39339268018489</v>
      </c>
      <c r="E29">
        <f t="shared" si="8"/>
        <v>1227</v>
      </c>
      <c r="F29">
        <f t="shared" si="8"/>
        <v>0</v>
      </c>
      <c r="G29">
        <f t="shared" si="8"/>
        <v>300</v>
      </c>
      <c r="I29" s="5">
        <f t="shared" si="0"/>
        <v>0</v>
      </c>
      <c r="J29" s="39">
        <f t="shared" si="1"/>
        <v>0</v>
      </c>
      <c r="K29" s="5">
        <f t="shared" si="7"/>
        <v>0</v>
      </c>
      <c r="L29" s="5">
        <f t="shared" si="2"/>
        <v>0</v>
      </c>
      <c r="N29" s="5">
        <f t="shared" si="3"/>
        <v>0</v>
      </c>
      <c r="O29" s="5">
        <f t="shared" si="4"/>
        <v>0</v>
      </c>
      <c r="Q29" s="68"/>
      <c r="R29" s="71"/>
      <c r="S29" s="71"/>
      <c r="T29" s="71"/>
      <c r="U29" s="63"/>
    </row>
    <row r="30" spans="1:23" x14ac:dyDescent="0.35">
      <c r="A30">
        <v>2037</v>
      </c>
      <c r="B30">
        <v>20</v>
      </c>
      <c r="C30" s="36">
        <v>0</v>
      </c>
      <c r="D30" s="2">
        <f t="shared" si="5"/>
        <v>876.39339268018489</v>
      </c>
      <c r="E30">
        <f t="shared" si="8"/>
        <v>1227</v>
      </c>
      <c r="F30">
        <f t="shared" si="8"/>
        <v>0</v>
      </c>
      <c r="G30">
        <f t="shared" si="8"/>
        <v>300</v>
      </c>
      <c r="I30" s="5">
        <f t="shared" si="0"/>
        <v>0</v>
      </c>
      <c r="J30" s="39">
        <f t="shared" si="1"/>
        <v>0</v>
      </c>
      <c r="K30" s="5">
        <f t="shared" si="7"/>
        <v>0</v>
      </c>
      <c r="L30" s="5">
        <f t="shared" si="2"/>
        <v>0</v>
      </c>
      <c r="N30" s="5">
        <f t="shared" si="3"/>
        <v>0</v>
      </c>
      <c r="O30" s="5">
        <f t="shared" si="4"/>
        <v>0</v>
      </c>
      <c r="Q30" s="69"/>
      <c r="R30" s="69"/>
      <c r="S30" s="83"/>
      <c r="T30" s="83"/>
      <c r="U30" s="69"/>
    </row>
    <row r="31" spans="1:23" x14ac:dyDescent="0.35">
      <c r="A31">
        <v>2038</v>
      </c>
      <c r="B31">
        <v>21</v>
      </c>
      <c r="C31" s="36">
        <v>0</v>
      </c>
      <c r="D31" s="2">
        <f t="shared" si="5"/>
        <v>876.39339268018489</v>
      </c>
      <c r="E31">
        <f t="shared" si="8"/>
        <v>1227</v>
      </c>
      <c r="F31">
        <f t="shared" si="8"/>
        <v>0</v>
      </c>
      <c r="G31">
        <f t="shared" si="8"/>
        <v>300</v>
      </c>
      <c r="I31" s="5">
        <f t="shared" si="0"/>
        <v>0</v>
      </c>
      <c r="J31" s="39">
        <f t="shared" si="1"/>
        <v>0</v>
      </c>
      <c r="K31" s="5">
        <f t="shared" si="7"/>
        <v>0</v>
      </c>
      <c r="L31" s="5">
        <f t="shared" si="2"/>
        <v>0</v>
      </c>
      <c r="N31" s="5">
        <f t="shared" si="3"/>
        <v>0</v>
      </c>
      <c r="O31" s="5">
        <f t="shared" si="4"/>
        <v>0</v>
      </c>
      <c r="Q31" s="69"/>
      <c r="R31" s="68"/>
      <c r="S31" s="62"/>
      <c r="T31" s="62"/>
      <c r="U31" s="70"/>
    </row>
    <row r="32" spans="1:23" x14ac:dyDescent="0.35">
      <c r="A32">
        <v>2039</v>
      </c>
      <c r="B32">
        <v>22</v>
      </c>
      <c r="C32" s="61">
        <f>'BCA - WTP per ha &amp; per year'!C17/12</f>
        <v>26256.666666666668</v>
      </c>
      <c r="D32" s="2">
        <f t="shared" si="5"/>
        <v>876.39339268018489</v>
      </c>
      <c r="E32">
        <f t="shared" si="8"/>
        <v>1227</v>
      </c>
      <c r="F32">
        <f t="shared" si="8"/>
        <v>0</v>
      </c>
      <c r="G32">
        <f t="shared" si="8"/>
        <v>300</v>
      </c>
      <c r="I32" s="5">
        <f>D32*C32</f>
        <v>23011169.180472724</v>
      </c>
      <c r="J32" s="39">
        <f t="shared" si="1"/>
        <v>0</v>
      </c>
      <c r="K32" s="5">
        <f>(G32*C32)+(E32*(C32-C31))</f>
        <v>40093930</v>
      </c>
      <c r="L32" s="5">
        <f>(I32+J32-K32)/(1+$J$5)^B32</f>
        <v>-8014388.0135362949</v>
      </c>
      <c r="N32" s="5">
        <f t="shared" si="3"/>
        <v>18810092.548989706</v>
      </c>
      <c r="O32" s="5">
        <f t="shared" si="4"/>
        <v>10795704.535453409</v>
      </c>
      <c r="Q32" s="69"/>
      <c r="R32" s="68"/>
      <c r="S32" s="63"/>
      <c r="T32" s="63"/>
      <c r="U32" s="71"/>
    </row>
    <row r="33" spans="1:21" x14ac:dyDescent="0.35">
      <c r="A33">
        <v>2040</v>
      </c>
      <c r="B33">
        <v>23</v>
      </c>
      <c r="C33" s="61">
        <f>$C$32+C32</f>
        <v>52513.333333333336</v>
      </c>
      <c r="D33" s="2">
        <f t="shared" si="5"/>
        <v>876.39339268018489</v>
      </c>
      <c r="E33">
        <f t="shared" si="8"/>
        <v>1227</v>
      </c>
      <c r="F33">
        <f t="shared" si="8"/>
        <v>0</v>
      </c>
      <c r="G33">
        <f t="shared" si="8"/>
        <v>300</v>
      </c>
      <c r="I33" s="5">
        <f>D33*C33</f>
        <v>46022338.360945448</v>
      </c>
      <c r="J33" s="39">
        <f t="shared" si="1"/>
        <v>0</v>
      </c>
      <c r="K33" s="5">
        <f t="shared" si="7"/>
        <v>47970930</v>
      </c>
      <c r="L33" s="5">
        <f t="shared" si="2"/>
        <v>-883268.59569898224</v>
      </c>
      <c r="N33" s="5">
        <f t="shared" si="3"/>
        <v>21744533.398507502</v>
      </c>
      <c r="O33" s="5">
        <f>(I33+J33)/(1+$J$5)^$B33</f>
        <v>20861264.802808519</v>
      </c>
      <c r="Q33" s="69"/>
      <c r="R33" s="71"/>
      <c r="S33" s="71"/>
      <c r="T33" s="71"/>
      <c r="U33" s="72"/>
    </row>
    <row r="34" spans="1:21" x14ac:dyDescent="0.35">
      <c r="A34">
        <v>2041</v>
      </c>
      <c r="B34">
        <v>24</v>
      </c>
      <c r="C34" s="61">
        <f>$C$32+C33</f>
        <v>78770</v>
      </c>
      <c r="D34" s="2">
        <f t="shared" si="5"/>
        <v>876.39339268018489</v>
      </c>
      <c r="E34">
        <f t="shared" si="8"/>
        <v>1227</v>
      </c>
      <c r="F34">
        <f t="shared" si="8"/>
        <v>0</v>
      </c>
      <c r="G34">
        <f t="shared" si="8"/>
        <v>300</v>
      </c>
      <c r="I34" s="5">
        <f t="shared" ref="I34:I42" si="9">D34*C34</f>
        <v>69033507.541418165</v>
      </c>
      <c r="J34" s="39">
        <f t="shared" si="1"/>
        <v>0</v>
      </c>
      <c r="K34" s="5">
        <f t="shared" si="7"/>
        <v>55847930</v>
      </c>
      <c r="L34" s="5">
        <f t="shared" si="2"/>
        <v>5774717.7487823749</v>
      </c>
      <c r="N34" s="5">
        <f>(K34)/(1+$J$5)^$B34</f>
        <v>24458999.356737223</v>
      </c>
      <c r="O34" s="5">
        <f t="shared" si="4"/>
        <v>30233717.105519596</v>
      </c>
      <c r="Q34" s="68"/>
      <c r="R34" s="69"/>
      <c r="S34" s="83"/>
      <c r="T34" s="83"/>
      <c r="U34" s="62"/>
    </row>
    <row r="35" spans="1:21" x14ac:dyDescent="0.35">
      <c r="A35">
        <v>2042</v>
      </c>
      <c r="B35">
        <v>25</v>
      </c>
      <c r="C35" s="61">
        <f>$C$32+C34</f>
        <v>105026.66666666667</v>
      </c>
      <c r="D35" s="2">
        <f t="shared" si="5"/>
        <v>876.39339268018489</v>
      </c>
      <c r="E35">
        <f t="shared" si="8"/>
        <v>1227</v>
      </c>
      <c r="F35">
        <f t="shared" si="8"/>
        <v>0</v>
      </c>
      <c r="G35">
        <f t="shared" si="8"/>
        <v>300</v>
      </c>
      <c r="I35" s="5">
        <f t="shared" si="9"/>
        <v>92044676.721890897</v>
      </c>
      <c r="J35" s="39">
        <f t="shared" si="1"/>
        <v>0</v>
      </c>
      <c r="K35" s="5">
        <f t="shared" si="7"/>
        <v>63724930.000000007</v>
      </c>
      <c r="L35" s="5">
        <f t="shared" si="2"/>
        <v>11983415.562256765</v>
      </c>
      <c r="N35" s="5">
        <f t="shared" si="3"/>
        <v>26965012.270940792</v>
      </c>
      <c r="O35" s="5">
        <f t="shared" si="4"/>
        <v>38948427.833197556</v>
      </c>
      <c r="Q35" s="68"/>
      <c r="R35" s="68"/>
      <c r="S35" s="62"/>
      <c r="T35" s="62"/>
      <c r="U35" s="62"/>
    </row>
    <row r="36" spans="1:21" x14ac:dyDescent="0.35">
      <c r="A36">
        <v>2043</v>
      </c>
      <c r="B36">
        <v>26</v>
      </c>
      <c r="C36" s="61">
        <f t="shared" ref="C36:C43" si="10">$C$32+C35</f>
        <v>131283.33333333334</v>
      </c>
      <c r="D36" s="2">
        <f t="shared" si="5"/>
        <v>876.39339268018489</v>
      </c>
      <c r="E36">
        <f t="shared" si="8"/>
        <v>1227</v>
      </c>
      <c r="F36">
        <f t="shared" si="8"/>
        <v>0</v>
      </c>
      <c r="G36">
        <f t="shared" si="8"/>
        <v>300</v>
      </c>
      <c r="I36" s="5">
        <f t="shared" si="9"/>
        <v>115055845.90236361</v>
      </c>
      <c r="J36" s="39">
        <f t="shared" si="1"/>
        <v>0</v>
      </c>
      <c r="K36" s="5">
        <f t="shared" si="7"/>
        <v>71601930</v>
      </c>
      <c r="L36" s="5">
        <f t="shared" si="2"/>
        <v>17765597.764325075</v>
      </c>
      <c r="N36" s="5">
        <f t="shared" si="3"/>
        <v>29273566.285430428</v>
      </c>
      <c r="O36" s="5">
        <f t="shared" si="4"/>
        <v>47039164.049755499</v>
      </c>
      <c r="Q36" s="68"/>
      <c r="R36" s="68"/>
      <c r="S36" s="63"/>
      <c r="T36" s="63"/>
      <c r="U36" s="63"/>
    </row>
    <row r="37" spans="1:21" x14ac:dyDescent="0.35">
      <c r="A37">
        <v>2044</v>
      </c>
      <c r="B37">
        <v>27</v>
      </c>
      <c r="C37" s="61">
        <f t="shared" si="10"/>
        <v>157540</v>
      </c>
      <c r="D37" s="2">
        <f t="shared" si="5"/>
        <v>876.39339268018489</v>
      </c>
      <c r="E37">
        <f t="shared" si="8"/>
        <v>1227</v>
      </c>
      <c r="F37">
        <f t="shared" si="8"/>
        <v>0</v>
      </c>
      <c r="G37">
        <f t="shared" si="8"/>
        <v>300</v>
      </c>
      <c r="I37" s="5">
        <f t="shared" si="9"/>
        <v>138067015.08283633</v>
      </c>
      <c r="J37" s="39">
        <f t="shared" si="1"/>
        <v>0</v>
      </c>
      <c r="K37" s="5">
        <f t="shared" si="7"/>
        <v>79478929.999999985</v>
      </c>
      <c r="L37" s="5">
        <f t="shared" si="2"/>
        <v>23143010.861300047</v>
      </c>
      <c r="N37" s="5">
        <f t="shared" si="3"/>
        <v>31395150.355807777</v>
      </c>
      <c r="O37" s="5">
        <f t="shared" si="4"/>
        <v>54538161.217107825</v>
      </c>
      <c r="Q37" s="68"/>
      <c r="R37" s="63"/>
      <c r="S37" s="63"/>
      <c r="T37" s="63"/>
      <c r="U37" s="63"/>
    </row>
    <row r="38" spans="1:21" x14ac:dyDescent="0.35">
      <c r="A38">
        <v>2045</v>
      </c>
      <c r="B38">
        <v>28</v>
      </c>
      <c r="C38" s="61">
        <f t="shared" si="10"/>
        <v>183796.66666666666</v>
      </c>
      <c r="D38" s="2">
        <f t="shared" si="5"/>
        <v>876.39339268018489</v>
      </c>
      <c r="E38">
        <f t="shared" si="8"/>
        <v>1227</v>
      </c>
      <c r="F38">
        <f t="shared" si="8"/>
        <v>0</v>
      </c>
      <c r="G38">
        <f t="shared" si="8"/>
        <v>300</v>
      </c>
      <c r="I38" s="5">
        <f>D38*C38</f>
        <v>161078184.26330903</v>
      </c>
      <c r="J38" s="39">
        <f t="shared" si="1"/>
        <v>0</v>
      </c>
      <c r="K38" s="5">
        <f t="shared" si="7"/>
        <v>87355929.999999985</v>
      </c>
      <c r="L38" s="5">
        <f t="shared" si="2"/>
        <v>28136418.323476404</v>
      </c>
      <c r="N38" s="5">
        <f t="shared" si="3"/>
        <v>33339769.843955919</v>
      </c>
      <c r="O38" s="5">
        <f t="shared" si="4"/>
        <v>61476188.167432323</v>
      </c>
      <c r="Q38" s="69"/>
      <c r="R38" s="71"/>
      <c r="S38" s="71"/>
      <c r="T38" s="71"/>
      <c r="U38" s="71"/>
    </row>
    <row r="39" spans="1:21" x14ac:dyDescent="0.35">
      <c r="A39">
        <v>2046</v>
      </c>
      <c r="B39">
        <v>29</v>
      </c>
      <c r="C39" s="61">
        <f t="shared" si="10"/>
        <v>210053.33333333331</v>
      </c>
      <c r="D39" s="2">
        <f t="shared" si="5"/>
        <v>876.39339268018489</v>
      </c>
      <c r="E39">
        <f t="shared" si="8"/>
        <v>1227</v>
      </c>
      <c r="F39">
        <f t="shared" si="8"/>
        <v>0</v>
      </c>
      <c r="G39">
        <f t="shared" si="8"/>
        <v>300</v>
      </c>
      <c r="I39" s="5">
        <f t="shared" si="9"/>
        <v>184089353.44378176</v>
      </c>
      <c r="J39" s="39">
        <f t="shared" si="1"/>
        <v>0</v>
      </c>
      <c r="K39" s="5">
        <f t="shared" si="7"/>
        <v>95232929.999999985</v>
      </c>
      <c r="L39" s="5">
        <f t="shared" si="2"/>
        <v>32765642.202428181</v>
      </c>
      <c r="N39" s="5">
        <f t="shared" si="3"/>
        <v>35116967.230209328</v>
      </c>
      <c r="O39" s="5">
        <f t="shared" si="4"/>
        <v>67882609.432637513</v>
      </c>
      <c r="Q39" s="69"/>
      <c r="R39" s="72"/>
      <c r="S39" s="72"/>
      <c r="T39" s="72"/>
      <c r="U39" s="72"/>
    </row>
    <row r="40" spans="1:21" x14ac:dyDescent="0.35">
      <c r="A40">
        <v>2047</v>
      </c>
      <c r="B40">
        <v>30</v>
      </c>
      <c r="C40" s="61">
        <f t="shared" si="10"/>
        <v>236309.99999999997</v>
      </c>
      <c r="D40" s="2">
        <f t="shared" si="5"/>
        <v>876.39339268018489</v>
      </c>
      <c r="E40">
        <f t="shared" si="8"/>
        <v>1227</v>
      </c>
      <c r="F40">
        <f t="shared" si="8"/>
        <v>0</v>
      </c>
      <c r="G40">
        <f t="shared" si="8"/>
        <v>300</v>
      </c>
      <c r="I40" s="5">
        <f>D40*C40</f>
        <v>207100522.62425447</v>
      </c>
      <c r="J40" s="39">
        <f t="shared" si="1"/>
        <v>0</v>
      </c>
      <c r="K40" s="5">
        <f t="shared" si="7"/>
        <v>103109929.99999997</v>
      </c>
      <c r="L40" s="5">
        <f t="shared" si="2"/>
        <v>37049603.057760894</v>
      </c>
      <c r="N40" s="5">
        <f t="shared" si="3"/>
        <v>36735841.977714643</v>
      </c>
      <c r="O40" s="5">
        <f t="shared" si="4"/>
        <v>73785445.035475537</v>
      </c>
      <c r="Q40" s="68"/>
      <c r="R40" s="62"/>
      <c r="S40" s="62"/>
      <c r="T40" s="62"/>
      <c r="U40" s="62"/>
    </row>
    <row r="41" spans="1:21" x14ac:dyDescent="0.35">
      <c r="A41">
        <v>2048</v>
      </c>
      <c r="B41">
        <v>31</v>
      </c>
      <c r="C41" s="61">
        <f t="shared" si="10"/>
        <v>262566.66666666663</v>
      </c>
      <c r="D41" s="2">
        <f t="shared" si="5"/>
        <v>876.39339268018489</v>
      </c>
      <c r="E41">
        <f t="shared" si="8"/>
        <v>1227</v>
      </c>
      <c r="F41">
        <f t="shared" si="8"/>
        <v>0</v>
      </c>
      <c r="G41">
        <f t="shared" si="8"/>
        <v>300</v>
      </c>
      <c r="I41" s="5">
        <f t="shared" si="9"/>
        <v>230111691.80472717</v>
      </c>
      <c r="J41" s="39">
        <f t="shared" si="1"/>
        <v>0</v>
      </c>
      <c r="K41" s="5">
        <f>(G41*C41)+(E41*(C41-C40))</f>
        <v>110986929.99999997</v>
      </c>
      <c r="L41" s="5">
        <f>(I41+J41-K41)/(1+$J$6)^B41</f>
        <v>47648373.392265849</v>
      </c>
      <c r="N41" s="5">
        <f>(K41)/(1+$J$6)^$B41</f>
        <v>44393345.280892015</v>
      </c>
      <c r="O41" s="5">
        <f>(I41+J41)/(1+$J$6)^$B41</f>
        <v>92041718.673157871</v>
      </c>
      <c r="Q41" s="68"/>
      <c r="R41" s="62"/>
      <c r="S41" s="62"/>
      <c r="T41" s="62"/>
      <c r="U41" s="62"/>
    </row>
    <row r="42" spans="1:21" x14ac:dyDescent="0.35">
      <c r="A42">
        <v>2049</v>
      </c>
      <c r="B42">
        <v>32</v>
      </c>
      <c r="C42" s="61">
        <f t="shared" si="10"/>
        <v>288823.33333333331</v>
      </c>
      <c r="D42" s="2">
        <f t="shared" si="5"/>
        <v>876.39339268018489</v>
      </c>
      <c r="E42">
        <f t="shared" si="8"/>
        <v>1227</v>
      </c>
      <c r="F42">
        <f t="shared" si="8"/>
        <v>0</v>
      </c>
      <c r="G42">
        <f t="shared" si="8"/>
        <v>300</v>
      </c>
      <c r="I42" s="5">
        <f t="shared" si="9"/>
        <v>253122860.98519993</v>
      </c>
      <c r="J42" s="39">
        <f t="shared" si="1"/>
        <v>0</v>
      </c>
      <c r="K42" s="5">
        <f t="shared" si="7"/>
        <v>118863930.00000003</v>
      </c>
      <c r="L42" s="5">
        <f>(I42+J42-K42)/(1+$J$6)^B42</f>
        <v>52137715.065192096</v>
      </c>
      <c r="N42" s="5">
        <f>(K42)/(1+$J$6)^$B42</f>
        <v>46159266.042063914</v>
      </c>
      <c r="O42" s="5">
        <f>(I42+J42)/(1+$J$6)^$B42</f>
        <v>98296981.10725601</v>
      </c>
      <c r="Q42" s="68"/>
      <c r="R42" s="63"/>
      <c r="S42" s="63"/>
      <c r="T42" s="63"/>
      <c r="U42" s="63"/>
    </row>
    <row r="43" spans="1:21" x14ac:dyDescent="0.35">
      <c r="A43">
        <v>2050</v>
      </c>
      <c r="B43">
        <v>33</v>
      </c>
      <c r="C43" s="61">
        <f t="shared" si="10"/>
        <v>315080</v>
      </c>
      <c r="D43" s="2">
        <f t="shared" si="5"/>
        <v>876.39339268018489</v>
      </c>
      <c r="E43">
        <f t="shared" si="8"/>
        <v>1227</v>
      </c>
      <c r="F43">
        <f t="shared" si="8"/>
        <v>0</v>
      </c>
      <c r="G43">
        <f t="shared" si="8"/>
        <v>300</v>
      </c>
      <c r="I43" s="5">
        <f>D43*C43</f>
        <v>276134030.16567266</v>
      </c>
      <c r="J43" s="39">
        <f t="shared" si="1"/>
        <v>0</v>
      </c>
      <c r="K43" s="5">
        <f t="shared" si="7"/>
        <v>126740930.00000003</v>
      </c>
      <c r="L43" s="5">
        <f>(I43+J43-K43)/(1+$J$6)^B43</f>
        <v>56325119.843557231</v>
      </c>
      <c r="N43" s="5">
        <f>(K43)/(1+$J$6)^$B43</f>
        <v>47784657.145593002</v>
      </c>
      <c r="O43" s="5">
        <f>(I43+J43)/(1+$J$6)^$B43</f>
        <v>104109776.98915023</v>
      </c>
      <c r="Q43" s="68"/>
      <c r="R43" s="63"/>
      <c r="S43" s="63"/>
      <c r="T43" s="63"/>
      <c r="U43" s="63"/>
    </row>
    <row r="44" spans="1:21" ht="15" thickBot="1" x14ac:dyDescent="0.4"/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303831957.21210963</v>
      </c>
      <c r="N45" s="5">
        <f>SUM(N10:N43)</f>
        <v>396177201.73684222</v>
      </c>
      <c r="O45" s="5">
        <f>SUM(O10:O43)</f>
        <v>700009158.94895196</v>
      </c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1.7669092413195646</v>
      </c>
    </row>
    <row r="49" spans="3:15" x14ac:dyDescent="0.35">
      <c r="C49" s="36"/>
      <c r="D49" s="2"/>
      <c r="I49" s="5"/>
      <c r="J49" s="39"/>
      <c r="K49" s="5"/>
      <c r="L49" s="5"/>
      <c r="N49" s="5"/>
      <c r="O49" s="5"/>
    </row>
    <row r="50" spans="3:15" x14ac:dyDescent="0.35">
      <c r="C50" s="142" t="s">
        <v>166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5"/>
    </row>
    <row r="51" spans="3:15" x14ac:dyDescent="0.35"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5"/>
    </row>
  </sheetData>
  <mergeCells count="18">
    <mergeCell ref="V23:W23"/>
    <mergeCell ref="T24:U24"/>
    <mergeCell ref="V24:W24"/>
    <mergeCell ref="V9:W9"/>
    <mergeCell ref="T17:U17"/>
    <mergeCell ref="V17:W17"/>
    <mergeCell ref="T18:U18"/>
    <mergeCell ref="V18:W18"/>
    <mergeCell ref="T9:U9"/>
    <mergeCell ref="T23:U23"/>
    <mergeCell ref="C50:N51"/>
    <mergeCell ref="I46:J46"/>
    <mergeCell ref="I8:J8"/>
    <mergeCell ref="R9:S9"/>
    <mergeCell ref="R17:S17"/>
    <mergeCell ref="R18:S18"/>
    <mergeCell ref="R24:S24"/>
    <mergeCell ref="R23:S2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80" zoomScaleNormal="80" workbookViewId="0">
      <selection activeCell="B6" sqref="B6"/>
    </sheetView>
  </sheetViews>
  <sheetFormatPr defaultRowHeight="14.5" x14ac:dyDescent="0.35"/>
  <cols>
    <col min="3" max="3" width="11" bestFit="1" customWidth="1"/>
    <col min="4" max="4" width="10.26953125" customWidth="1"/>
    <col min="6" max="6" width="11.26953125" customWidth="1"/>
    <col min="7" max="7" width="11.7265625" customWidth="1"/>
    <col min="8" max="8" width="14.7265625" customWidth="1"/>
    <col min="9" max="9" width="18.54296875" customWidth="1"/>
    <col min="10" max="11" width="17.7265625" bestFit="1" customWidth="1"/>
    <col min="12" max="12" width="26.453125" bestFit="1" customWidth="1"/>
    <col min="14" max="14" width="22" bestFit="1" customWidth="1"/>
    <col min="15" max="15" width="25" bestFit="1" customWidth="1"/>
    <col min="17" max="17" width="19.81640625" customWidth="1"/>
    <col min="18" max="18" width="29.7265625" customWidth="1"/>
    <col min="19" max="19" width="29.26953125" customWidth="1"/>
    <col min="20" max="20" width="32" bestFit="1" customWidth="1"/>
    <col min="21" max="21" width="26.7265625" bestFit="1" customWidth="1"/>
    <col min="22" max="22" width="27" customWidth="1"/>
    <col min="23" max="23" width="25.54296875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188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Q9" s="38"/>
      <c r="R9" s="153" t="s">
        <v>70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v>0</v>
      </c>
      <c r="D10" s="87">
        <f>V12</f>
        <v>605.70656485014376</v>
      </c>
      <c r="E10" s="88">
        <v>1227</v>
      </c>
      <c r="F10">
        <v>0</v>
      </c>
      <c r="G10" s="88">
        <v>300</v>
      </c>
      <c r="I10" s="5">
        <f>D10*C10</f>
        <v>0</v>
      </c>
      <c r="J10" s="39">
        <f>$S$11</f>
        <v>0</v>
      </c>
      <c r="K10" s="89">
        <f>(G10*C10)+(E10*C10)</f>
        <v>0</v>
      </c>
      <c r="L10" s="5">
        <f>(I10+J10-K10)/(1+$J$5)^B10</f>
        <v>0</v>
      </c>
      <c r="N10" s="5">
        <f>(K10)/(1+$J$5)^$B10</f>
        <v>0</v>
      </c>
      <c r="O10" s="5">
        <f>(I10+J10)/(1+$J$5)^$B10</f>
        <v>0</v>
      </c>
      <c r="R10" s="76" t="s">
        <v>79</v>
      </c>
      <c r="S10" s="28" t="s">
        <v>81</v>
      </c>
      <c r="T10" s="76" t="s">
        <v>79</v>
      </c>
      <c r="U10" s="28" t="s">
        <v>81</v>
      </c>
      <c r="V10" s="76" t="s">
        <v>79</v>
      </c>
      <c r="W10" s="28" t="s">
        <v>81</v>
      </c>
    </row>
    <row r="11" spans="1:23" ht="15" thickBot="1" x14ac:dyDescent="0.4">
      <c r="A11">
        <v>2018</v>
      </c>
      <c r="B11">
        <v>1</v>
      </c>
      <c r="C11" s="36">
        <v>0</v>
      </c>
      <c r="D11" s="2">
        <f>$D$10</f>
        <v>605.70656485014376</v>
      </c>
      <c r="E11">
        <f>E10</f>
        <v>1227</v>
      </c>
      <c r="F11">
        <v>0</v>
      </c>
      <c r="G11">
        <f>G10</f>
        <v>300</v>
      </c>
      <c r="I11" s="5">
        <f t="shared" ref="I11:I43" si="0">D11*C11</f>
        <v>0</v>
      </c>
      <c r="J11" s="39">
        <f t="shared" ref="J11:J43" si="1">$S$11</f>
        <v>0</v>
      </c>
      <c r="K11" s="89">
        <f>(G11*C11)+(E11*(C11-C10))</f>
        <v>0</v>
      </c>
      <c r="L11" s="5">
        <f t="shared" ref="L11:L40" si="2">(I11+J11-K11)/(1+$J$5)^B11</f>
        <v>0</v>
      </c>
      <c r="N11" s="5">
        <f t="shared" ref="N11:N40" si="3">(K11)/(1+$J$5)^$B11</f>
        <v>0</v>
      </c>
      <c r="O11" s="5">
        <f t="shared" ref="O11:O40" si="4">(I11+J11)/(1+$J$5)^$B11</f>
        <v>0</v>
      </c>
      <c r="Q11" t="s">
        <v>43</v>
      </c>
      <c r="R11" s="44">
        <f>'BCA - WTP per ha &amp; per year'!D19</f>
        <v>401.86175571988736</v>
      </c>
      <c r="S11" s="44">
        <v>0</v>
      </c>
      <c r="T11" s="44">
        <f>'BCA - WTP per ha &amp; per year'!$D$35</f>
        <v>336.35021612068419</v>
      </c>
      <c r="U11" s="44">
        <v>0</v>
      </c>
      <c r="V11" s="44">
        <f>'BCA - WTP per ha &amp; per year'!$D$60</f>
        <v>467.37329531909052</v>
      </c>
      <c r="W11" s="44">
        <v>0</v>
      </c>
    </row>
    <row r="12" spans="1:23" ht="15" thickBot="1" x14ac:dyDescent="0.4">
      <c r="A12">
        <v>2019</v>
      </c>
      <c r="B12">
        <v>2</v>
      </c>
      <c r="C12" s="36">
        <v>0</v>
      </c>
      <c r="D12" s="2">
        <f t="shared" ref="D12:D43" si="5">$D$10</f>
        <v>605.70656485014376</v>
      </c>
      <c r="E12">
        <f t="shared" ref="E12:G27" si="6">E11</f>
        <v>1227</v>
      </c>
      <c r="F12">
        <f t="shared" si="6"/>
        <v>0</v>
      </c>
      <c r="G12">
        <f t="shared" si="6"/>
        <v>300</v>
      </c>
      <c r="I12" s="5">
        <f t="shared" si="0"/>
        <v>0</v>
      </c>
      <c r="J12" s="39">
        <f t="shared" si="1"/>
        <v>0</v>
      </c>
      <c r="K12" s="5">
        <f t="shared" ref="K12:K43" si="7">(G12*C12)+(E12*(C12-C11))</f>
        <v>0</v>
      </c>
      <c r="L12" s="5">
        <f t="shared" si="2"/>
        <v>0</v>
      </c>
      <c r="N12" s="5">
        <f t="shared" si="3"/>
        <v>0</v>
      </c>
      <c r="O12" s="5">
        <f t="shared" si="4"/>
        <v>0</v>
      </c>
      <c r="Q12" t="s">
        <v>44</v>
      </c>
      <c r="R12" s="44">
        <f>'BCA - WTP per ha &amp; per year'!G19</f>
        <v>519.17796852259983</v>
      </c>
      <c r="S12" s="82">
        <v>0</v>
      </c>
      <c r="T12" s="44">
        <f>'BCA - WTP per ha &amp; per year'!$G$35</f>
        <v>432.64937219505606</v>
      </c>
      <c r="U12" s="82">
        <v>0</v>
      </c>
      <c r="V12" s="44">
        <f>'BCA - WTP per ha &amp; per year'!$G$60</f>
        <v>605.70656485014376</v>
      </c>
      <c r="W12" s="82">
        <v>0</v>
      </c>
    </row>
    <row r="13" spans="1:23" x14ac:dyDescent="0.35">
      <c r="A13">
        <v>2020</v>
      </c>
      <c r="B13">
        <v>3</v>
      </c>
      <c r="C13" s="36">
        <v>0</v>
      </c>
      <c r="D13" s="2">
        <f t="shared" si="5"/>
        <v>605.70656485014376</v>
      </c>
      <c r="E13">
        <f t="shared" si="6"/>
        <v>1227</v>
      </c>
      <c r="F13">
        <f t="shared" si="6"/>
        <v>0</v>
      </c>
      <c r="G13">
        <f t="shared" si="6"/>
        <v>300</v>
      </c>
      <c r="I13" s="5">
        <f t="shared" si="0"/>
        <v>0</v>
      </c>
      <c r="J13" s="39">
        <f t="shared" si="1"/>
        <v>0</v>
      </c>
      <c r="K13" s="5">
        <f t="shared" si="7"/>
        <v>0</v>
      </c>
      <c r="L13" s="5">
        <f t="shared" si="2"/>
        <v>0</v>
      </c>
      <c r="N13" s="5">
        <f t="shared" si="3"/>
        <v>0</v>
      </c>
      <c r="O13" s="5">
        <f t="shared" si="4"/>
        <v>0</v>
      </c>
      <c r="S13" s="26"/>
      <c r="T13" s="2"/>
    </row>
    <row r="14" spans="1:23" x14ac:dyDescent="0.35">
      <c r="A14">
        <v>2021</v>
      </c>
      <c r="B14">
        <v>4</v>
      </c>
      <c r="C14" s="36">
        <v>0</v>
      </c>
      <c r="D14" s="2">
        <f t="shared" si="5"/>
        <v>605.70656485014376</v>
      </c>
      <c r="E14">
        <f t="shared" si="6"/>
        <v>1227</v>
      </c>
      <c r="F14">
        <f t="shared" si="6"/>
        <v>0</v>
      </c>
      <c r="G14">
        <f t="shared" si="6"/>
        <v>300</v>
      </c>
      <c r="I14" s="5">
        <f t="shared" si="0"/>
        <v>0</v>
      </c>
      <c r="J14" s="39">
        <f t="shared" si="1"/>
        <v>0</v>
      </c>
      <c r="K14" s="5">
        <f t="shared" si="7"/>
        <v>0</v>
      </c>
      <c r="L14" s="5">
        <f t="shared" si="2"/>
        <v>0</v>
      </c>
      <c r="N14" s="5">
        <f t="shared" si="3"/>
        <v>0</v>
      </c>
      <c r="O14" s="5">
        <f t="shared" si="4"/>
        <v>0</v>
      </c>
      <c r="T14" s="2"/>
    </row>
    <row r="15" spans="1:23" x14ac:dyDescent="0.35">
      <c r="A15">
        <v>2022</v>
      </c>
      <c r="B15">
        <v>5</v>
      </c>
      <c r="C15" s="36">
        <v>0</v>
      </c>
      <c r="D15" s="2">
        <f t="shared" si="5"/>
        <v>605.70656485014376</v>
      </c>
      <c r="E15">
        <f t="shared" si="6"/>
        <v>1227</v>
      </c>
      <c r="F15">
        <f t="shared" si="6"/>
        <v>0</v>
      </c>
      <c r="G15">
        <f t="shared" si="6"/>
        <v>300</v>
      </c>
      <c r="I15" s="5">
        <f t="shared" si="0"/>
        <v>0</v>
      </c>
      <c r="J15" s="39">
        <f t="shared" si="1"/>
        <v>0</v>
      </c>
      <c r="K15" s="5">
        <f t="shared" si="7"/>
        <v>0</v>
      </c>
      <c r="L15" s="5">
        <f t="shared" si="2"/>
        <v>0</v>
      </c>
      <c r="N15" s="5">
        <f t="shared" si="3"/>
        <v>0</v>
      </c>
      <c r="O15" s="5">
        <f t="shared" si="4"/>
        <v>0</v>
      </c>
      <c r="T15" s="2"/>
    </row>
    <row r="16" spans="1:23" x14ac:dyDescent="0.35">
      <c r="A16">
        <v>2023</v>
      </c>
      <c r="B16">
        <v>6</v>
      </c>
      <c r="C16" s="36">
        <v>0</v>
      </c>
      <c r="D16" s="2">
        <f t="shared" si="5"/>
        <v>605.70656485014376</v>
      </c>
      <c r="E16">
        <f t="shared" si="6"/>
        <v>1227</v>
      </c>
      <c r="F16">
        <f t="shared" si="6"/>
        <v>0</v>
      </c>
      <c r="G16">
        <f t="shared" si="6"/>
        <v>300</v>
      </c>
      <c r="I16" s="5">
        <f t="shared" si="0"/>
        <v>0</v>
      </c>
      <c r="J16" s="39">
        <f t="shared" si="1"/>
        <v>0</v>
      </c>
      <c r="K16" s="5">
        <f t="shared" si="7"/>
        <v>0</v>
      </c>
      <c r="L16" s="5">
        <f t="shared" si="2"/>
        <v>0</v>
      </c>
      <c r="N16" s="5">
        <f t="shared" si="3"/>
        <v>0</v>
      </c>
      <c r="O16" s="5">
        <f t="shared" si="4"/>
        <v>0</v>
      </c>
      <c r="T16" s="2"/>
    </row>
    <row r="17" spans="1:23" x14ac:dyDescent="0.35">
      <c r="A17">
        <v>2024</v>
      </c>
      <c r="B17">
        <v>7</v>
      </c>
      <c r="C17" s="36">
        <v>0</v>
      </c>
      <c r="D17" s="2">
        <f t="shared" si="5"/>
        <v>605.70656485014376</v>
      </c>
      <c r="E17">
        <f t="shared" si="6"/>
        <v>1227</v>
      </c>
      <c r="F17">
        <f t="shared" si="6"/>
        <v>0</v>
      </c>
      <c r="G17">
        <f t="shared" si="6"/>
        <v>300</v>
      </c>
      <c r="I17" s="5">
        <f t="shared" si="0"/>
        <v>0</v>
      </c>
      <c r="J17" s="39">
        <f t="shared" si="1"/>
        <v>0</v>
      </c>
      <c r="K17" s="5">
        <f t="shared" si="7"/>
        <v>0</v>
      </c>
      <c r="L17" s="5">
        <f t="shared" si="2"/>
        <v>0</v>
      </c>
      <c r="N17" s="5">
        <f t="shared" si="3"/>
        <v>0</v>
      </c>
      <c r="O17" s="5">
        <f t="shared" si="4"/>
        <v>0</v>
      </c>
      <c r="Q17" s="69"/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v>0</v>
      </c>
      <c r="D18" s="2">
        <f t="shared" si="5"/>
        <v>605.70656485014376</v>
      </c>
      <c r="E18">
        <f t="shared" si="6"/>
        <v>1227</v>
      </c>
      <c r="F18">
        <f t="shared" si="6"/>
        <v>0</v>
      </c>
      <c r="G18">
        <f t="shared" si="6"/>
        <v>300</v>
      </c>
      <c r="I18" s="5">
        <f t="shared" si="0"/>
        <v>0</v>
      </c>
      <c r="J18" s="39">
        <f t="shared" si="1"/>
        <v>0</v>
      </c>
      <c r="K18" s="5">
        <f t="shared" si="7"/>
        <v>0</v>
      </c>
      <c r="L18" s="5">
        <f t="shared" si="2"/>
        <v>0</v>
      </c>
      <c r="N18" s="5">
        <f t="shared" si="3"/>
        <v>0</v>
      </c>
      <c r="O18" s="5">
        <f t="shared" si="4"/>
        <v>0</v>
      </c>
      <c r="Q18" s="69"/>
      <c r="R18" s="150" t="s">
        <v>76</v>
      </c>
      <c r="S18" s="150"/>
      <c r="T18" s="150" t="s">
        <v>100</v>
      </c>
      <c r="U18" s="150"/>
      <c r="V18" s="150" t="s">
        <v>102</v>
      </c>
      <c r="W18" s="150"/>
    </row>
    <row r="19" spans="1:23" x14ac:dyDescent="0.35">
      <c r="A19">
        <v>2026</v>
      </c>
      <c r="B19">
        <v>9</v>
      </c>
      <c r="C19" s="36">
        <v>0</v>
      </c>
      <c r="D19" s="2">
        <f t="shared" si="5"/>
        <v>605.70656485014376</v>
      </c>
      <c r="E19">
        <f t="shared" si="6"/>
        <v>1227</v>
      </c>
      <c r="F19">
        <f t="shared" si="6"/>
        <v>0</v>
      </c>
      <c r="G19">
        <f t="shared" si="6"/>
        <v>300</v>
      </c>
      <c r="I19" s="5">
        <f t="shared" si="0"/>
        <v>0</v>
      </c>
      <c r="J19" s="39">
        <f t="shared" si="1"/>
        <v>0</v>
      </c>
      <c r="K19" s="5">
        <f t="shared" si="7"/>
        <v>0</v>
      </c>
      <c r="L19" s="5">
        <f t="shared" si="2"/>
        <v>0</v>
      </c>
      <c r="N19" s="5">
        <f t="shared" si="3"/>
        <v>0</v>
      </c>
      <c r="O19" s="5">
        <f t="shared" si="4"/>
        <v>0</v>
      </c>
      <c r="Q19" s="69"/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v>0</v>
      </c>
      <c r="D20" s="2">
        <f t="shared" si="5"/>
        <v>605.70656485014376</v>
      </c>
      <c r="E20">
        <f t="shared" si="6"/>
        <v>1227</v>
      </c>
      <c r="F20">
        <f t="shared" si="6"/>
        <v>0</v>
      </c>
      <c r="G20">
        <f t="shared" si="6"/>
        <v>300</v>
      </c>
      <c r="I20" s="5">
        <f t="shared" si="0"/>
        <v>0</v>
      </c>
      <c r="J20" s="39">
        <f t="shared" si="1"/>
        <v>0</v>
      </c>
      <c r="K20" s="5">
        <f t="shared" si="7"/>
        <v>0</v>
      </c>
      <c r="L20" s="5">
        <f t="shared" si="2"/>
        <v>0</v>
      </c>
      <c r="N20" s="5">
        <f t="shared" si="3"/>
        <v>0</v>
      </c>
      <c r="O20" s="5">
        <f t="shared" si="4"/>
        <v>0</v>
      </c>
      <c r="Q20" s="68"/>
      <c r="R20" s="32" t="s">
        <v>50</v>
      </c>
      <c r="S20" s="74">
        <v>0.81019922770400021</v>
      </c>
      <c r="T20" s="32" t="s">
        <v>50</v>
      </c>
      <c r="U20" s="93">
        <v>0.6781204766571568</v>
      </c>
      <c r="V20" s="32" t="s">
        <v>50</v>
      </c>
      <c r="W20" s="74">
        <v>0.9422779787508434</v>
      </c>
    </row>
    <row r="21" spans="1:23" x14ac:dyDescent="0.35">
      <c r="A21">
        <v>2028</v>
      </c>
      <c r="B21">
        <v>11</v>
      </c>
      <c r="C21" s="36">
        <v>0</v>
      </c>
      <c r="D21" s="2">
        <f t="shared" si="5"/>
        <v>605.70656485014376</v>
      </c>
      <c r="E21">
        <f t="shared" si="6"/>
        <v>1227</v>
      </c>
      <c r="F21">
        <f t="shared" si="6"/>
        <v>0</v>
      </c>
      <c r="G21">
        <f t="shared" si="6"/>
        <v>300</v>
      </c>
      <c r="I21" s="5">
        <f t="shared" si="0"/>
        <v>0</v>
      </c>
      <c r="J21" s="39">
        <f t="shared" si="1"/>
        <v>0</v>
      </c>
      <c r="K21" s="5">
        <f t="shared" si="7"/>
        <v>0</v>
      </c>
      <c r="L21" s="5">
        <f t="shared" si="2"/>
        <v>0</v>
      </c>
      <c r="N21" s="5">
        <f t="shared" si="3"/>
        <v>0</v>
      </c>
      <c r="O21" s="5">
        <f t="shared" si="4"/>
        <v>0</v>
      </c>
      <c r="Q21" s="68"/>
      <c r="R21" s="32" t="s">
        <v>51</v>
      </c>
      <c r="S21" s="58">
        <v>-112792108.28358126</v>
      </c>
      <c r="T21" s="32" t="s">
        <v>51</v>
      </c>
      <c r="U21" s="58">
        <v>-191281993.28153443</v>
      </c>
      <c r="V21" s="32" t="s">
        <v>51</v>
      </c>
      <c r="W21" s="58">
        <v>-34302223.28562808</v>
      </c>
    </row>
    <row r="22" spans="1:23" x14ac:dyDescent="0.35">
      <c r="A22">
        <v>2029</v>
      </c>
      <c r="B22">
        <v>12</v>
      </c>
      <c r="C22" s="36">
        <v>0</v>
      </c>
      <c r="D22" s="2">
        <f t="shared" si="5"/>
        <v>605.70656485014376</v>
      </c>
      <c r="E22">
        <f t="shared" si="6"/>
        <v>1227</v>
      </c>
      <c r="F22">
        <f t="shared" si="6"/>
        <v>0</v>
      </c>
      <c r="G22">
        <f t="shared" si="6"/>
        <v>300</v>
      </c>
      <c r="I22" s="5">
        <f t="shared" si="0"/>
        <v>0</v>
      </c>
      <c r="J22" s="39">
        <f t="shared" si="1"/>
        <v>0</v>
      </c>
      <c r="K22" s="5">
        <f t="shared" si="7"/>
        <v>0</v>
      </c>
      <c r="L22" s="5">
        <f t="shared" si="2"/>
        <v>0</v>
      </c>
      <c r="N22" s="5">
        <f t="shared" si="3"/>
        <v>0</v>
      </c>
      <c r="O22" s="5">
        <f t="shared" si="4"/>
        <v>0</v>
      </c>
      <c r="Q22" s="68"/>
      <c r="R22" s="90"/>
      <c r="S22" s="91"/>
      <c r="U22" s="26"/>
      <c r="W22" s="26"/>
    </row>
    <row r="23" spans="1:23" x14ac:dyDescent="0.35">
      <c r="A23">
        <v>2030</v>
      </c>
      <c r="B23">
        <v>13</v>
      </c>
      <c r="C23" s="36">
        <v>0</v>
      </c>
      <c r="D23" s="2">
        <f t="shared" si="5"/>
        <v>605.70656485014376</v>
      </c>
      <c r="E23">
        <f t="shared" si="6"/>
        <v>1227</v>
      </c>
      <c r="F23">
        <f t="shared" si="6"/>
        <v>0</v>
      </c>
      <c r="G23">
        <f t="shared" si="6"/>
        <v>300</v>
      </c>
      <c r="I23" s="5">
        <f t="shared" si="0"/>
        <v>0</v>
      </c>
      <c r="J23" s="39">
        <f t="shared" si="1"/>
        <v>0</v>
      </c>
      <c r="K23" s="5">
        <f t="shared" si="7"/>
        <v>0</v>
      </c>
      <c r="L23" s="5">
        <f t="shared" si="2"/>
        <v>0</v>
      </c>
      <c r="N23" s="5">
        <f t="shared" si="3"/>
        <v>0</v>
      </c>
      <c r="O23" s="5">
        <f t="shared" si="4"/>
        <v>0</v>
      </c>
      <c r="Q23" s="68"/>
      <c r="R23" s="80" t="s">
        <v>13</v>
      </c>
      <c r="S23" s="80"/>
      <c r="T23" s="152" t="s">
        <v>13</v>
      </c>
      <c r="U23" s="152"/>
      <c r="V23" s="152" t="s">
        <v>13</v>
      </c>
      <c r="W23" s="152"/>
    </row>
    <row r="24" spans="1:23" x14ac:dyDescent="0.35">
      <c r="A24">
        <v>2031</v>
      </c>
      <c r="B24">
        <v>14</v>
      </c>
      <c r="C24" s="36">
        <v>0</v>
      </c>
      <c r="D24" s="2">
        <f t="shared" si="5"/>
        <v>605.70656485014376</v>
      </c>
      <c r="E24">
        <f t="shared" si="6"/>
        <v>1227</v>
      </c>
      <c r="F24">
        <f t="shared" si="6"/>
        <v>0</v>
      </c>
      <c r="G24">
        <f t="shared" si="6"/>
        <v>300</v>
      </c>
      <c r="I24" s="5">
        <f t="shared" si="0"/>
        <v>0</v>
      </c>
      <c r="J24" s="39">
        <f t="shared" si="1"/>
        <v>0</v>
      </c>
      <c r="K24" s="5">
        <f t="shared" si="7"/>
        <v>0</v>
      </c>
      <c r="L24" s="5">
        <f t="shared" si="2"/>
        <v>0</v>
      </c>
      <c r="N24" s="5">
        <f t="shared" si="3"/>
        <v>0</v>
      </c>
      <c r="O24" s="5">
        <f t="shared" si="4"/>
        <v>0</v>
      </c>
      <c r="Q24" s="69"/>
      <c r="R24" s="150" t="s">
        <v>77</v>
      </c>
      <c r="S24" s="150"/>
      <c r="T24" s="150" t="s">
        <v>101</v>
      </c>
      <c r="U24" s="150"/>
      <c r="V24" s="150" t="s">
        <v>103</v>
      </c>
      <c r="W24" s="150"/>
    </row>
    <row r="25" spans="1:23" x14ac:dyDescent="0.35">
      <c r="A25">
        <v>2032</v>
      </c>
      <c r="B25">
        <v>15</v>
      </c>
      <c r="C25" s="36">
        <v>0</v>
      </c>
      <c r="D25" s="2">
        <f t="shared" si="5"/>
        <v>605.70656485014376</v>
      </c>
      <c r="E25">
        <f t="shared" si="6"/>
        <v>1227</v>
      </c>
      <c r="F25">
        <f t="shared" si="6"/>
        <v>0</v>
      </c>
      <c r="G25">
        <f t="shared" si="6"/>
        <v>300</v>
      </c>
      <c r="I25" s="5">
        <f t="shared" si="0"/>
        <v>0</v>
      </c>
      <c r="J25" s="39">
        <f t="shared" si="1"/>
        <v>0</v>
      </c>
      <c r="K25" s="5">
        <f t="shared" si="7"/>
        <v>0</v>
      </c>
      <c r="L25" s="5">
        <f t="shared" si="2"/>
        <v>0</v>
      </c>
      <c r="N25" s="5">
        <f t="shared" si="3"/>
        <v>0</v>
      </c>
      <c r="O25" s="5">
        <f t="shared" si="4"/>
        <v>0</v>
      </c>
      <c r="Q25" s="69"/>
      <c r="S25" s="66" t="s">
        <v>65</v>
      </c>
      <c r="U25" s="66" t="s">
        <v>65</v>
      </c>
      <c r="W25" s="66" t="s">
        <v>65</v>
      </c>
    </row>
    <row r="26" spans="1:23" x14ac:dyDescent="0.35">
      <c r="A26">
        <v>2033</v>
      </c>
      <c r="B26">
        <v>16</v>
      </c>
      <c r="C26" s="36">
        <v>0</v>
      </c>
      <c r="D26" s="2">
        <f t="shared" si="5"/>
        <v>605.70656485014376</v>
      </c>
      <c r="E26">
        <f t="shared" si="6"/>
        <v>1227</v>
      </c>
      <c r="F26">
        <f t="shared" si="6"/>
        <v>0</v>
      </c>
      <c r="G26">
        <f t="shared" si="6"/>
        <v>300</v>
      </c>
      <c r="I26" s="5">
        <f t="shared" si="0"/>
        <v>0</v>
      </c>
      <c r="J26" s="39">
        <f t="shared" si="1"/>
        <v>0</v>
      </c>
      <c r="K26" s="5">
        <f t="shared" si="7"/>
        <v>0</v>
      </c>
      <c r="L26" s="5">
        <f t="shared" si="2"/>
        <v>0</v>
      </c>
      <c r="N26" s="5">
        <f t="shared" si="3"/>
        <v>0</v>
      </c>
      <c r="O26" s="5">
        <f t="shared" si="4"/>
        <v>0</v>
      </c>
      <c r="Q26" s="68"/>
      <c r="R26" s="32" t="s">
        <v>50</v>
      </c>
      <c r="S26" s="74">
        <v>1.0467221206069237</v>
      </c>
      <c r="T26" s="32" t="s">
        <v>50</v>
      </c>
      <c r="U26" s="93">
        <v>0.87227058118809631</v>
      </c>
      <c r="V26" s="32" t="s">
        <v>50</v>
      </c>
      <c r="W26" s="74">
        <v>1.2211736600257517</v>
      </c>
    </row>
    <row r="27" spans="1:23" x14ac:dyDescent="0.35">
      <c r="A27">
        <v>2034</v>
      </c>
      <c r="B27">
        <v>17</v>
      </c>
      <c r="C27" s="36">
        <v>0</v>
      </c>
      <c r="D27" s="2">
        <f t="shared" si="5"/>
        <v>605.70656485014376</v>
      </c>
      <c r="E27">
        <f t="shared" si="6"/>
        <v>1227</v>
      </c>
      <c r="F27">
        <f t="shared" si="6"/>
        <v>0</v>
      </c>
      <c r="G27">
        <f t="shared" si="6"/>
        <v>300</v>
      </c>
      <c r="I27" s="5">
        <f t="shared" si="0"/>
        <v>0</v>
      </c>
      <c r="J27" s="39">
        <f t="shared" si="1"/>
        <v>0</v>
      </c>
      <c r="K27" s="5">
        <f t="shared" si="7"/>
        <v>0</v>
      </c>
      <c r="L27" s="5">
        <f t="shared" si="2"/>
        <v>0</v>
      </c>
      <c r="N27" s="5">
        <f t="shared" si="3"/>
        <v>0</v>
      </c>
      <c r="O27" s="5">
        <f t="shared" si="4"/>
        <v>0</v>
      </c>
      <c r="Q27" s="68"/>
      <c r="R27" s="32" t="s">
        <v>51</v>
      </c>
      <c r="S27" s="58">
        <v>27765358.501893401</v>
      </c>
      <c r="T27" s="32" t="s">
        <v>51</v>
      </c>
      <c r="U27" s="58">
        <v>-75905225.586559862</v>
      </c>
      <c r="V27" s="32" t="s">
        <v>51</v>
      </c>
      <c r="W27" s="58">
        <v>131435942.59034684</v>
      </c>
    </row>
    <row r="28" spans="1:23" x14ac:dyDescent="0.35">
      <c r="A28">
        <v>2035</v>
      </c>
      <c r="B28">
        <v>18</v>
      </c>
      <c r="C28" s="36">
        <v>0</v>
      </c>
      <c r="D28" s="2">
        <f t="shared" si="5"/>
        <v>605.70656485014376</v>
      </c>
      <c r="E28">
        <f t="shared" ref="E28:G43" si="8">E27</f>
        <v>1227</v>
      </c>
      <c r="F28">
        <f t="shared" si="8"/>
        <v>0</v>
      </c>
      <c r="G28">
        <f t="shared" si="8"/>
        <v>300</v>
      </c>
      <c r="I28" s="5">
        <f t="shared" si="0"/>
        <v>0</v>
      </c>
      <c r="J28" s="39">
        <f t="shared" si="1"/>
        <v>0</v>
      </c>
      <c r="K28" s="5">
        <f t="shared" si="7"/>
        <v>0</v>
      </c>
      <c r="L28" s="5">
        <f t="shared" si="2"/>
        <v>0</v>
      </c>
      <c r="N28" s="5">
        <f t="shared" si="3"/>
        <v>0</v>
      </c>
      <c r="O28" s="5">
        <f t="shared" si="4"/>
        <v>0</v>
      </c>
      <c r="Q28" s="68"/>
      <c r="R28" s="70"/>
      <c r="S28" s="70"/>
      <c r="T28" s="70"/>
      <c r="U28" s="63"/>
    </row>
    <row r="29" spans="1:23" x14ac:dyDescent="0.35">
      <c r="A29">
        <v>2036</v>
      </c>
      <c r="B29">
        <v>19</v>
      </c>
      <c r="C29" s="36">
        <v>0</v>
      </c>
      <c r="D29" s="2">
        <f t="shared" si="5"/>
        <v>605.70656485014376</v>
      </c>
      <c r="E29">
        <f t="shared" si="8"/>
        <v>1227</v>
      </c>
      <c r="F29">
        <f t="shared" si="8"/>
        <v>0</v>
      </c>
      <c r="G29">
        <f t="shared" si="8"/>
        <v>300</v>
      </c>
      <c r="I29" s="5">
        <f t="shared" si="0"/>
        <v>0</v>
      </c>
      <c r="J29" s="39">
        <f t="shared" si="1"/>
        <v>0</v>
      </c>
      <c r="K29" s="5">
        <f t="shared" si="7"/>
        <v>0</v>
      </c>
      <c r="L29" s="5">
        <f t="shared" si="2"/>
        <v>0</v>
      </c>
      <c r="N29" s="5">
        <f t="shared" si="3"/>
        <v>0</v>
      </c>
      <c r="O29" s="5">
        <f t="shared" si="4"/>
        <v>0</v>
      </c>
      <c r="Q29" s="68"/>
      <c r="R29" s="71"/>
      <c r="S29" s="71"/>
      <c r="T29" s="71"/>
      <c r="U29" s="63"/>
    </row>
    <row r="30" spans="1:23" x14ac:dyDescent="0.35">
      <c r="A30">
        <v>2037</v>
      </c>
      <c r="B30">
        <v>20</v>
      </c>
      <c r="C30" s="36">
        <v>0</v>
      </c>
      <c r="D30" s="2">
        <f t="shared" si="5"/>
        <v>605.70656485014376</v>
      </c>
      <c r="E30">
        <f t="shared" si="8"/>
        <v>1227</v>
      </c>
      <c r="F30">
        <f t="shared" si="8"/>
        <v>0</v>
      </c>
      <c r="G30">
        <f t="shared" si="8"/>
        <v>300</v>
      </c>
      <c r="I30" s="5">
        <f t="shared" si="0"/>
        <v>0</v>
      </c>
      <c r="J30" s="39">
        <f t="shared" si="1"/>
        <v>0</v>
      </c>
      <c r="K30" s="5">
        <f t="shared" si="7"/>
        <v>0</v>
      </c>
      <c r="L30" s="5">
        <f t="shared" si="2"/>
        <v>0</v>
      </c>
      <c r="N30" s="5">
        <f t="shared" si="3"/>
        <v>0</v>
      </c>
      <c r="O30" s="5">
        <f t="shared" si="4"/>
        <v>0</v>
      </c>
      <c r="Q30" s="69"/>
      <c r="R30" s="69"/>
      <c r="S30" s="83"/>
      <c r="T30" s="83"/>
      <c r="U30" s="69"/>
    </row>
    <row r="31" spans="1:23" x14ac:dyDescent="0.35">
      <c r="A31">
        <v>2038</v>
      </c>
      <c r="B31">
        <v>21</v>
      </c>
      <c r="C31" s="36">
        <v>0</v>
      </c>
      <c r="D31" s="2">
        <f t="shared" si="5"/>
        <v>605.70656485014376</v>
      </c>
      <c r="E31">
        <f t="shared" si="8"/>
        <v>1227</v>
      </c>
      <c r="F31">
        <f t="shared" si="8"/>
        <v>0</v>
      </c>
      <c r="G31">
        <f t="shared" si="8"/>
        <v>300</v>
      </c>
      <c r="I31" s="5">
        <f t="shared" si="0"/>
        <v>0</v>
      </c>
      <c r="J31" s="39">
        <f t="shared" si="1"/>
        <v>0</v>
      </c>
      <c r="K31" s="5">
        <f t="shared" si="7"/>
        <v>0</v>
      </c>
      <c r="L31" s="5">
        <f t="shared" si="2"/>
        <v>0</v>
      </c>
      <c r="N31" s="5">
        <f t="shared" si="3"/>
        <v>0</v>
      </c>
      <c r="O31" s="5">
        <f t="shared" si="4"/>
        <v>0</v>
      </c>
      <c r="Q31" s="69"/>
      <c r="R31" s="68"/>
      <c r="S31" s="62"/>
      <c r="T31" s="62"/>
      <c r="U31" s="70"/>
    </row>
    <row r="32" spans="1:23" x14ac:dyDescent="0.35">
      <c r="A32">
        <v>2039</v>
      </c>
      <c r="B32">
        <v>22</v>
      </c>
      <c r="C32" s="61">
        <f>'BCA - WTP per ha &amp; per year'!D17/12</f>
        <v>39385</v>
      </c>
      <c r="D32" s="2">
        <f t="shared" si="5"/>
        <v>605.70656485014376</v>
      </c>
      <c r="E32">
        <f t="shared" si="8"/>
        <v>1227</v>
      </c>
      <c r="F32">
        <f t="shared" si="8"/>
        <v>0</v>
      </c>
      <c r="G32">
        <f t="shared" si="8"/>
        <v>300</v>
      </c>
      <c r="I32" s="5">
        <f>D32*C32</f>
        <v>23855753.056622911</v>
      </c>
      <c r="J32" s="39">
        <f t="shared" si="1"/>
        <v>0</v>
      </c>
      <c r="K32" s="5">
        <f t="shared" si="7"/>
        <v>60140895</v>
      </c>
      <c r="L32" s="5">
        <f t="shared" si="2"/>
        <v>-17023197.229808882</v>
      </c>
      <c r="N32" s="5">
        <f t="shared" si="3"/>
        <v>28215138.823484555</v>
      </c>
      <c r="O32" s="5">
        <f t="shared" si="4"/>
        <v>11191941.593675675</v>
      </c>
      <c r="Q32" s="69"/>
      <c r="R32" s="68"/>
      <c r="S32" s="63"/>
      <c r="T32" s="63"/>
      <c r="U32" s="71"/>
    </row>
    <row r="33" spans="1:21" x14ac:dyDescent="0.35">
      <c r="A33">
        <v>2040</v>
      </c>
      <c r="B33">
        <v>23</v>
      </c>
      <c r="C33" s="61">
        <f>$C$32+C32</f>
        <v>78770</v>
      </c>
      <c r="D33" s="2">
        <f t="shared" si="5"/>
        <v>605.70656485014376</v>
      </c>
      <c r="E33">
        <f t="shared" si="8"/>
        <v>1227</v>
      </c>
      <c r="F33">
        <f t="shared" si="8"/>
        <v>0</v>
      </c>
      <c r="G33">
        <f t="shared" si="8"/>
        <v>300</v>
      </c>
      <c r="I33" s="5">
        <f t="shared" si="0"/>
        <v>47711506.113245822</v>
      </c>
      <c r="J33" s="39">
        <f t="shared" si="1"/>
        <v>0</v>
      </c>
      <c r="K33" s="5">
        <f t="shared" si="7"/>
        <v>71956395</v>
      </c>
      <c r="L33" s="5">
        <f t="shared" si="2"/>
        <v>-10989859.820127098</v>
      </c>
      <c r="N33" s="5">
        <f t="shared" si="3"/>
        <v>32616800.097761255</v>
      </c>
      <c r="O33" s="5">
        <f t="shared" si="4"/>
        <v>21626940.277634155</v>
      </c>
      <c r="Q33" s="69"/>
      <c r="R33" s="71"/>
      <c r="S33" s="71"/>
      <c r="T33" s="71"/>
      <c r="U33" s="72"/>
    </row>
    <row r="34" spans="1:21" x14ac:dyDescent="0.35">
      <c r="A34">
        <v>2041</v>
      </c>
      <c r="B34">
        <v>24</v>
      </c>
      <c r="C34" s="61">
        <f>$C$32+C33</f>
        <v>118155</v>
      </c>
      <c r="D34" s="2">
        <f t="shared" si="5"/>
        <v>605.70656485014376</v>
      </c>
      <c r="E34">
        <f t="shared" si="8"/>
        <v>1227</v>
      </c>
      <c r="F34">
        <f t="shared" si="8"/>
        <v>0</v>
      </c>
      <c r="G34">
        <f t="shared" si="8"/>
        <v>300</v>
      </c>
      <c r="I34" s="5">
        <f t="shared" si="0"/>
        <v>71567259.169868737</v>
      </c>
      <c r="J34" s="39">
        <f t="shared" si="1"/>
        <v>0</v>
      </c>
      <c r="K34" s="5">
        <f t="shared" si="7"/>
        <v>83771895</v>
      </c>
      <c r="L34" s="5">
        <f t="shared" si="2"/>
        <v>-5345107.3283896577</v>
      </c>
      <c r="N34" s="5">
        <f t="shared" si="3"/>
        <v>36688499.035105832</v>
      </c>
      <c r="O34" s="5">
        <f t="shared" si="4"/>
        <v>31343391.706716176</v>
      </c>
      <c r="Q34" s="68"/>
      <c r="R34" s="69"/>
      <c r="S34" s="83"/>
      <c r="T34" s="83"/>
      <c r="U34" s="62"/>
    </row>
    <row r="35" spans="1:21" x14ac:dyDescent="0.35">
      <c r="A35">
        <v>2042</v>
      </c>
      <c r="B35">
        <v>25</v>
      </c>
      <c r="C35" s="61">
        <f>$C$32+C34</f>
        <v>157540</v>
      </c>
      <c r="D35" s="2">
        <f t="shared" si="5"/>
        <v>605.70656485014376</v>
      </c>
      <c r="E35">
        <f t="shared" si="8"/>
        <v>1227</v>
      </c>
      <c r="F35">
        <f t="shared" si="8"/>
        <v>0</v>
      </c>
      <c r="G35">
        <f t="shared" si="8"/>
        <v>300</v>
      </c>
      <c r="I35" s="5">
        <f t="shared" si="0"/>
        <v>95423012.226491645</v>
      </c>
      <c r="J35" s="39">
        <f t="shared" si="1"/>
        <v>0</v>
      </c>
      <c r="K35" s="5">
        <f t="shared" si="7"/>
        <v>95587395</v>
      </c>
      <c r="L35" s="5">
        <f t="shared" si="2"/>
        <v>-69558.075697910899</v>
      </c>
      <c r="N35" s="5">
        <f t="shared" si="3"/>
        <v>40447518.406411186</v>
      </c>
      <c r="O35" s="5">
        <f t="shared" si="4"/>
        <v>40377960.330713272</v>
      </c>
      <c r="Q35" s="68"/>
      <c r="R35" s="68"/>
      <c r="S35" s="62"/>
      <c r="T35" s="62"/>
      <c r="U35" s="62"/>
    </row>
    <row r="36" spans="1:21" x14ac:dyDescent="0.35">
      <c r="A36">
        <v>2043</v>
      </c>
      <c r="B36">
        <v>26</v>
      </c>
      <c r="C36" s="61">
        <f t="shared" ref="C36:C43" si="9">$C$32+C35</f>
        <v>196925</v>
      </c>
      <c r="D36" s="2">
        <f t="shared" si="5"/>
        <v>605.70656485014376</v>
      </c>
      <c r="E36">
        <f t="shared" si="8"/>
        <v>1227</v>
      </c>
      <c r="F36">
        <f t="shared" si="8"/>
        <v>0</v>
      </c>
      <c r="G36">
        <f t="shared" si="8"/>
        <v>300</v>
      </c>
      <c r="I36" s="5">
        <f t="shared" si="0"/>
        <v>119278765.28311457</v>
      </c>
      <c r="J36" s="39">
        <f t="shared" si="1"/>
        <v>0</v>
      </c>
      <c r="K36" s="5">
        <f t="shared" si="7"/>
        <v>107402895</v>
      </c>
      <c r="L36" s="5">
        <f t="shared" si="2"/>
        <v>4855303.1451795744</v>
      </c>
      <c r="N36" s="5">
        <f t="shared" si="3"/>
        <v>43910349.42814564</v>
      </c>
      <c r="O36" s="5">
        <f>(I36+J36)/(1+$J$5)^$B36</f>
        <v>48765652.573325217</v>
      </c>
      <c r="Q36" s="68"/>
      <c r="R36" s="68"/>
      <c r="S36" s="63"/>
      <c r="T36" s="63"/>
      <c r="U36" s="63"/>
    </row>
    <row r="37" spans="1:21" x14ac:dyDescent="0.35">
      <c r="A37">
        <v>2044</v>
      </c>
      <c r="B37">
        <v>27</v>
      </c>
      <c r="C37" s="61">
        <f t="shared" si="9"/>
        <v>236310</v>
      </c>
      <c r="D37" s="2">
        <f t="shared" si="5"/>
        <v>605.70656485014376</v>
      </c>
      <c r="E37">
        <f t="shared" si="8"/>
        <v>1227</v>
      </c>
      <c r="F37">
        <f t="shared" si="8"/>
        <v>0</v>
      </c>
      <c r="G37">
        <f t="shared" si="8"/>
        <v>300</v>
      </c>
      <c r="I37" s="5">
        <f t="shared" si="0"/>
        <v>143134518.33973747</v>
      </c>
      <c r="J37" s="39">
        <f t="shared" si="1"/>
        <v>0</v>
      </c>
      <c r="K37" s="5">
        <f t="shared" si="7"/>
        <v>119218395</v>
      </c>
      <c r="L37" s="5">
        <f t="shared" si="2"/>
        <v>9447161.5078248009</v>
      </c>
      <c r="N37" s="5">
        <f t="shared" si="3"/>
        <v>47092725.533711672</v>
      </c>
      <c r="O37" s="5">
        <f t="shared" si="4"/>
        <v>56539887.04153648</v>
      </c>
      <c r="Q37" s="68"/>
      <c r="R37" s="63"/>
      <c r="S37" s="63"/>
      <c r="T37" s="63"/>
      <c r="U37" s="63"/>
    </row>
    <row r="38" spans="1:21" x14ac:dyDescent="0.35">
      <c r="A38">
        <v>2045</v>
      </c>
      <c r="B38">
        <v>28</v>
      </c>
      <c r="C38" s="61">
        <f t="shared" si="9"/>
        <v>275695</v>
      </c>
      <c r="D38" s="2">
        <f t="shared" si="5"/>
        <v>605.70656485014376</v>
      </c>
      <c r="E38">
        <f t="shared" si="8"/>
        <v>1227</v>
      </c>
      <c r="F38">
        <f t="shared" si="8"/>
        <v>0</v>
      </c>
      <c r="G38">
        <f t="shared" si="8"/>
        <v>300</v>
      </c>
      <c r="I38" s="5">
        <f t="shared" si="0"/>
        <v>166990271.3963604</v>
      </c>
      <c r="J38" s="39">
        <f t="shared" si="1"/>
        <v>0</v>
      </c>
      <c r="K38" s="5">
        <f t="shared" si="7"/>
        <v>131033895</v>
      </c>
      <c r="L38" s="5">
        <f t="shared" si="2"/>
        <v>13722907.116635414</v>
      </c>
      <c r="N38" s="5">
        <f t="shared" si="3"/>
        <v>50009654.765933886</v>
      </c>
      <c r="O38" s="5">
        <f t="shared" si="4"/>
        <v>63732561.882569306</v>
      </c>
      <c r="Q38" s="69"/>
      <c r="R38" s="71"/>
      <c r="S38" s="71"/>
      <c r="T38" s="71"/>
      <c r="U38" s="71"/>
    </row>
    <row r="39" spans="1:21" x14ac:dyDescent="0.35">
      <c r="A39">
        <v>2046</v>
      </c>
      <c r="B39">
        <v>29</v>
      </c>
      <c r="C39" s="61">
        <f t="shared" si="9"/>
        <v>315080</v>
      </c>
      <c r="D39" s="2">
        <f t="shared" si="5"/>
        <v>605.70656485014376</v>
      </c>
      <c r="E39">
        <f t="shared" si="8"/>
        <v>1227</v>
      </c>
      <c r="F39">
        <f t="shared" si="8"/>
        <v>0</v>
      </c>
      <c r="G39">
        <f t="shared" si="8"/>
        <v>300</v>
      </c>
      <c r="I39" s="5">
        <f t="shared" si="0"/>
        <v>190846024.45298329</v>
      </c>
      <c r="J39" s="39">
        <f t="shared" si="1"/>
        <v>0</v>
      </c>
      <c r="K39" s="5">
        <f t="shared" si="7"/>
        <v>142849395</v>
      </c>
      <c r="L39" s="5">
        <f t="shared" si="2"/>
        <v>17698668.555728719</v>
      </c>
      <c r="N39" s="5">
        <f t="shared" si="3"/>
        <v>52675450.845313996</v>
      </c>
      <c r="O39" s="5">
        <f t="shared" si="4"/>
        <v>70374119.401042715</v>
      </c>
      <c r="Q39" s="69"/>
      <c r="R39" s="72"/>
      <c r="S39" s="72"/>
      <c r="T39" s="72"/>
      <c r="U39" s="72"/>
    </row>
    <row r="40" spans="1:21" x14ac:dyDescent="0.35">
      <c r="A40">
        <v>2047</v>
      </c>
      <c r="B40">
        <v>30</v>
      </c>
      <c r="C40" s="61">
        <f t="shared" si="9"/>
        <v>354465</v>
      </c>
      <c r="D40" s="2">
        <f t="shared" si="5"/>
        <v>605.70656485014376</v>
      </c>
      <c r="E40">
        <f t="shared" si="8"/>
        <v>1227</v>
      </c>
      <c r="F40">
        <f t="shared" si="8"/>
        <v>0</v>
      </c>
      <c r="G40">
        <f t="shared" si="8"/>
        <v>300</v>
      </c>
      <c r="I40" s="5">
        <f t="shared" si="0"/>
        <v>214701777.50960621</v>
      </c>
      <c r="J40" s="39">
        <f t="shared" si="1"/>
        <v>0</v>
      </c>
      <c r="K40" s="5">
        <f t="shared" si="7"/>
        <v>154664895</v>
      </c>
      <c r="L40" s="5">
        <f t="shared" si="2"/>
        <v>21389845.078039665</v>
      </c>
      <c r="N40" s="5">
        <f t="shared" si="3"/>
        <v>55103762.966571979</v>
      </c>
      <c r="O40" s="5">
        <f t="shared" si="4"/>
        <v>76493608.044611648</v>
      </c>
      <c r="Q40" s="68"/>
      <c r="R40" s="62"/>
      <c r="S40" s="62"/>
      <c r="T40" s="62"/>
      <c r="U40" s="62"/>
    </row>
    <row r="41" spans="1:21" x14ac:dyDescent="0.35">
      <c r="A41">
        <v>2048</v>
      </c>
      <c r="B41">
        <v>31</v>
      </c>
      <c r="C41" s="61">
        <f t="shared" si="9"/>
        <v>393850</v>
      </c>
      <c r="D41" s="2">
        <f t="shared" si="5"/>
        <v>605.70656485014376</v>
      </c>
      <c r="E41">
        <f t="shared" si="8"/>
        <v>1227</v>
      </c>
      <c r="F41">
        <f t="shared" si="8"/>
        <v>0</v>
      </c>
      <c r="G41">
        <f t="shared" si="8"/>
        <v>300</v>
      </c>
      <c r="I41" s="5">
        <f t="shared" si="0"/>
        <v>238557530.56622913</v>
      </c>
      <c r="J41" s="39">
        <f t="shared" si="1"/>
        <v>0</v>
      </c>
      <c r="K41" s="5">
        <f t="shared" si="7"/>
        <v>166480395</v>
      </c>
      <c r="L41" s="5">
        <f>(I41+J41-K41)/(1+$J$6)^B41</f>
        <v>28829927.686523747</v>
      </c>
      <c r="N41" s="5">
        <f>(K41)/(1+$J$6)^$B41</f>
        <v>66590017.921338037</v>
      </c>
      <c r="O41" s="5">
        <f>(I41+J41)/(1+$J$6)^$B41</f>
        <v>95419945.607861787</v>
      </c>
      <c r="Q41" s="68"/>
      <c r="R41" s="62"/>
      <c r="S41" s="62"/>
      <c r="T41" s="62"/>
      <c r="U41" s="62"/>
    </row>
    <row r="42" spans="1:21" x14ac:dyDescent="0.35">
      <c r="A42">
        <v>2049</v>
      </c>
      <c r="B42">
        <v>32</v>
      </c>
      <c r="C42" s="61">
        <f t="shared" si="9"/>
        <v>433235</v>
      </c>
      <c r="D42" s="2">
        <f t="shared" si="5"/>
        <v>605.70656485014376</v>
      </c>
      <c r="E42">
        <f t="shared" si="8"/>
        <v>1227</v>
      </c>
      <c r="F42">
        <f t="shared" si="8"/>
        <v>0</v>
      </c>
      <c r="G42">
        <f t="shared" si="8"/>
        <v>300</v>
      </c>
      <c r="I42" s="5">
        <f t="shared" si="0"/>
        <v>262413283.62285203</v>
      </c>
      <c r="J42" s="39">
        <f t="shared" si="1"/>
        <v>0</v>
      </c>
      <c r="K42" s="5">
        <f>(G42*C42)+(E42*(C42-C41))</f>
        <v>178295895</v>
      </c>
      <c r="L42" s="5">
        <f>(I42+J42-K42)/(1+$J$6)^B42</f>
        <v>32665897.217144899</v>
      </c>
      <c r="N42" s="5">
        <f>(K42)/(1+$J$6)^$B42</f>
        <v>69238899.063095853</v>
      </c>
      <c r="O42" s="5">
        <f t="shared" ref="O42:O43" si="10">(I42+J42)/(1+$J$6)^$B42</f>
        <v>101904796.28024076</v>
      </c>
      <c r="Q42" s="68"/>
      <c r="R42" s="63"/>
      <c r="S42" s="63"/>
      <c r="T42" s="63"/>
      <c r="U42" s="63"/>
    </row>
    <row r="43" spans="1:21" x14ac:dyDescent="0.35">
      <c r="A43">
        <v>2050</v>
      </c>
      <c r="B43">
        <v>33</v>
      </c>
      <c r="C43" s="61">
        <f t="shared" si="9"/>
        <v>472620</v>
      </c>
      <c r="D43" s="2">
        <f t="shared" si="5"/>
        <v>605.70656485014376</v>
      </c>
      <c r="E43">
        <f t="shared" si="8"/>
        <v>1227</v>
      </c>
      <c r="F43">
        <f t="shared" si="8"/>
        <v>0</v>
      </c>
      <c r="G43">
        <f t="shared" si="8"/>
        <v>300</v>
      </c>
      <c r="I43" s="5">
        <f t="shared" si="0"/>
        <v>286269036.67947495</v>
      </c>
      <c r="J43" s="39">
        <f t="shared" si="1"/>
        <v>0</v>
      </c>
      <c r="K43" s="5">
        <f t="shared" si="7"/>
        <v>190111395</v>
      </c>
      <c r="L43" s="5">
        <f>(I43+J43-K43)/(1+$J$6)^B43</f>
        <v>36253954.737293571</v>
      </c>
      <c r="N43" s="5">
        <f>(K43)/(1+$J$6)^$B43</f>
        <v>71676985.718389481</v>
      </c>
      <c r="O43" s="5">
        <f t="shared" si="10"/>
        <v>107930940.45568305</v>
      </c>
      <c r="Q43" s="68"/>
      <c r="R43" s="63"/>
      <c r="S43" s="63"/>
      <c r="T43" s="63"/>
      <c r="U43" s="63"/>
    </row>
    <row r="44" spans="1:21" ht="15" thickBot="1" x14ac:dyDescent="0.4"/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131435942.59034684</v>
      </c>
      <c r="N45" s="5">
        <f>SUM(N10:N43)</f>
        <v>594265802.60526335</v>
      </c>
      <c r="O45" s="5">
        <f>SUM(O10:O43)</f>
        <v>725701745.19561028</v>
      </c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1.2211736600257517</v>
      </c>
    </row>
    <row r="49" spans="3:15" x14ac:dyDescent="0.35">
      <c r="C49" s="36"/>
      <c r="D49" s="2"/>
      <c r="I49" s="5"/>
      <c r="J49" s="39"/>
      <c r="K49" s="5"/>
      <c r="L49" s="5"/>
      <c r="N49" s="5"/>
      <c r="O49" s="5"/>
    </row>
    <row r="50" spans="3:15" x14ac:dyDescent="0.35">
      <c r="C50" s="142" t="s">
        <v>166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5"/>
    </row>
    <row r="51" spans="3:15" x14ac:dyDescent="0.35"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5"/>
    </row>
    <row r="57" spans="3:15" x14ac:dyDescent="0.35">
      <c r="L57" s="94"/>
    </row>
  </sheetData>
  <mergeCells count="17">
    <mergeCell ref="V23:W23"/>
    <mergeCell ref="T24:U24"/>
    <mergeCell ref="V24:W24"/>
    <mergeCell ref="V9:W9"/>
    <mergeCell ref="T17:U17"/>
    <mergeCell ref="V17:W17"/>
    <mergeCell ref="T18:U18"/>
    <mergeCell ref="V18:W18"/>
    <mergeCell ref="T9:U9"/>
    <mergeCell ref="T23:U23"/>
    <mergeCell ref="C50:N51"/>
    <mergeCell ref="I46:J46"/>
    <mergeCell ref="I8:J8"/>
    <mergeCell ref="R9:S9"/>
    <mergeCell ref="R17:S17"/>
    <mergeCell ref="R18:S18"/>
    <mergeCell ref="R24:S2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1"/>
  <sheetViews>
    <sheetView zoomScale="80" zoomScaleNormal="80" workbookViewId="0">
      <selection activeCell="V75" sqref="V75"/>
    </sheetView>
  </sheetViews>
  <sheetFormatPr defaultRowHeight="14.5" x14ac:dyDescent="0.35"/>
  <cols>
    <col min="2" max="2" width="26.7265625" bestFit="1" customWidth="1"/>
    <col min="3" max="3" width="30.26953125" customWidth="1"/>
    <col min="4" max="4" width="26.7265625" bestFit="1" customWidth="1"/>
    <col min="5" max="5" width="28.54296875" customWidth="1"/>
    <col min="6" max="6" width="26.7265625" bestFit="1" customWidth="1"/>
    <col min="7" max="7" width="26.453125" bestFit="1" customWidth="1"/>
    <col min="11" max="11" width="38.453125" bestFit="1" customWidth="1"/>
    <col min="12" max="12" width="26.453125" bestFit="1" customWidth="1"/>
    <col min="13" max="13" width="38.453125" bestFit="1" customWidth="1"/>
    <col min="14" max="14" width="26.453125" bestFit="1" customWidth="1"/>
    <col min="15" max="15" width="38.453125" bestFit="1" customWidth="1"/>
    <col min="16" max="16" width="26.453125" bestFit="1" customWidth="1"/>
    <col min="19" max="19" width="28.453125" customWidth="1"/>
    <col min="20" max="20" width="28.81640625" customWidth="1"/>
    <col min="21" max="21" width="28.26953125" customWidth="1"/>
    <col min="22" max="22" width="29.26953125" customWidth="1"/>
    <col min="23" max="23" width="28.26953125" customWidth="1"/>
    <col min="24" max="24" width="29" customWidth="1"/>
    <col min="25" max="25" width="23" bestFit="1" customWidth="1"/>
  </cols>
  <sheetData>
    <row r="1" spans="2:25" x14ac:dyDescent="0.35">
      <c r="B1" s="142" t="s">
        <v>166</v>
      </c>
      <c r="C1" s="143"/>
      <c r="D1" s="143"/>
      <c r="E1" s="143"/>
      <c r="F1" s="143"/>
      <c r="G1" s="143"/>
      <c r="H1" s="144"/>
      <c r="I1" s="131"/>
      <c r="J1" s="131"/>
      <c r="K1" s="131"/>
      <c r="L1" s="131"/>
      <c r="M1" s="131"/>
    </row>
    <row r="2" spans="2:25" x14ac:dyDescent="0.35">
      <c r="B2" s="145"/>
      <c r="C2" s="146"/>
      <c r="D2" s="146"/>
      <c r="E2" s="146"/>
      <c r="F2" s="146"/>
      <c r="G2" s="146"/>
      <c r="H2" s="147"/>
      <c r="I2" s="131"/>
      <c r="J2" s="131"/>
      <c r="K2" s="131"/>
      <c r="L2" s="131"/>
      <c r="M2" s="131"/>
    </row>
    <row r="6" spans="2:25" x14ac:dyDescent="0.35">
      <c r="B6" s="155" t="s">
        <v>56</v>
      </c>
      <c r="C6" s="155"/>
      <c r="D6" s="155"/>
      <c r="E6" s="155"/>
      <c r="F6" s="155"/>
      <c r="G6" s="155"/>
      <c r="K6" s="155" t="s">
        <v>57</v>
      </c>
      <c r="L6" s="155"/>
      <c r="M6" s="155"/>
      <c r="N6" s="155"/>
      <c r="O6" s="155"/>
      <c r="P6" s="155"/>
      <c r="S6" s="155" t="s">
        <v>58</v>
      </c>
      <c r="T6" s="155"/>
      <c r="U6" s="155"/>
      <c r="V6" s="155"/>
      <c r="W6" s="155"/>
      <c r="X6" s="155"/>
      <c r="Y6" s="96"/>
    </row>
    <row r="8" spans="2:25" x14ac:dyDescent="0.35">
      <c r="B8" s="154" t="s">
        <v>104</v>
      </c>
      <c r="C8" s="154"/>
      <c r="D8" s="154" t="s">
        <v>105</v>
      </c>
      <c r="E8" s="154"/>
      <c r="F8" s="154" t="s">
        <v>106</v>
      </c>
      <c r="G8" s="154"/>
      <c r="H8" s="69"/>
      <c r="I8" s="69"/>
      <c r="J8" s="69"/>
      <c r="K8" s="154" t="s">
        <v>104</v>
      </c>
      <c r="L8" s="154"/>
      <c r="M8" s="154" t="s">
        <v>105</v>
      </c>
      <c r="N8" s="154"/>
      <c r="O8" s="154" t="s">
        <v>106</v>
      </c>
      <c r="P8" s="154"/>
      <c r="Q8" s="69"/>
      <c r="R8" s="69"/>
      <c r="S8" s="154" t="s">
        <v>104</v>
      </c>
      <c r="T8" s="154"/>
      <c r="U8" s="154" t="s">
        <v>105</v>
      </c>
      <c r="V8" s="154"/>
      <c r="W8" s="154" t="s">
        <v>106</v>
      </c>
      <c r="X8" s="154"/>
      <c r="Y8" s="70"/>
    </row>
    <row r="9" spans="2:25" x14ac:dyDescent="0.35">
      <c r="B9" s="151" t="s">
        <v>12</v>
      </c>
      <c r="C9" s="151"/>
      <c r="D9" s="151" t="s">
        <v>12</v>
      </c>
      <c r="E9" s="151"/>
      <c r="F9" s="151" t="s">
        <v>12</v>
      </c>
      <c r="G9" s="151"/>
      <c r="H9" s="69"/>
      <c r="I9" s="69"/>
      <c r="J9" s="69"/>
      <c r="K9" s="151" t="s">
        <v>12</v>
      </c>
      <c r="L9" s="151"/>
      <c r="M9" s="151" t="s">
        <v>12</v>
      </c>
      <c r="N9" s="151"/>
      <c r="O9" s="151" t="s">
        <v>12</v>
      </c>
      <c r="P9" s="151"/>
      <c r="Q9" s="69"/>
      <c r="R9" s="69"/>
      <c r="S9" s="151" t="s">
        <v>12</v>
      </c>
      <c r="T9" s="151"/>
      <c r="U9" s="151" t="s">
        <v>12</v>
      </c>
      <c r="V9" s="151"/>
      <c r="W9" s="151" t="s">
        <v>12</v>
      </c>
      <c r="X9" s="151"/>
      <c r="Y9" s="71"/>
    </row>
    <row r="10" spans="2:25" x14ac:dyDescent="0.35">
      <c r="B10" s="150" t="s">
        <v>66</v>
      </c>
      <c r="C10" s="150"/>
      <c r="D10" s="150" t="s">
        <v>92</v>
      </c>
      <c r="E10" s="150"/>
      <c r="F10" s="150" t="s">
        <v>94</v>
      </c>
      <c r="G10" s="150"/>
      <c r="H10" s="69"/>
      <c r="I10" s="69"/>
      <c r="J10" s="69"/>
      <c r="K10" s="150" t="s">
        <v>66</v>
      </c>
      <c r="L10" s="150"/>
      <c r="M10" s="150" t="s">
        <v>92</v>
      </c>
      <c r="N10" s="150"/>
      <c r="O10" s="150" t="s">
        <v>94</v>
      </c>
      <c r="P10" s="150"/>
      <c r="Q10" s="69"/>
      <c r="R10" s="69"/>
      <c r="S10" s="150" t="s">
        <v>66</v>
      </c>
      <c r="T10" s="150"/>
      <c r="U10" s="150" t="s">
        <v>92</v>
      </c>
      <c r="V10" s="150"/>
      <c r="W10" s="150" t="s">
        <v>94</v>
      </c>
      <c r="X10" s="150"/>
      <c r="Y10" s="83"/>
    </row>
    <row r="11" spans="2:25" x14ac:dyDescent="0.35">
      <c r="C11" s="66" t="s">
        <v>65</v>
      </c>
      <c r="E11" s="66" t="s">
        <v>65</v>
      </c>
      <c r="G11" s="66" t="s">
        <v>65</v>
      </c>
      <c r="H11" s="69"/>
      <c r="I11" s="69"/>
      <c r="J11" s="69"/>
      <c r="L11" s="66" t="s">
        <v>65</v>
      </c>
      <c r="N11" s="66" t="s">
        <v>65</v>
      </c>
      <c r="P11" s="66" t="s">
        <v>65</v>
      </c>
      <c r="Q11" s="69"/>
      <c r="R11" s="69"/>
      <c r="T11" s="66" t="s">
        <v>65</v>
      </c>
      <c r="V11" s="66" t="s">
        <v>65</v>
      </c>
      <c r="X11" s="66" t="s">
        <v>65</v>
      </c>
      <c r="Y11" s="62"/>
    </row>
    <row r="12" spans="2:25" x14ac:dyDescent="0.35">
      <c r="B12" s="32" t="s">
        <v>50</v>
      </c>
      <c r="C12" s="37">
        <v>6.58118905645774</v>
      </c>
      <c r="D12" s="32" t="s">
        <v>50</v>
      </c>
      <c r="E12" s="37">
        <v>5.5649165646858094</v>
      </c>
      <c r="F12" s="32" t="s">
        <v>50</v>
      </c>
      <c r="G12" s="37">
        <v>7.597461548229675</v>
      </c>
      <c r="H12" s="69"/>
      <c r="I12" s="69"/>
      <c r="J12" s="69"/>
      <c r="K12" s="32" t="s">
        <v>50</v>
      </c>
      <c r="L12" s="37">
        <v>4.9121212053098322</v>
      </c>
      <c r="M12" s="32" t="s">
        <v>50</v>
      </c>
      <c r="N12" s="37">
        <v>4.0175530450353412</v>
      </c>
      <c r="O12" s="32" t="s">
        <v>50</v>
      </c>
      <c r="P12" s="37">
        <v>5.8066893655843241</v>
      </c>
      <c r="Q12" s="69"/>
      <c r="R12" s="69"/>
      <c r="S12" s="32" t="s">
        <v>50</v>
      </c>
      <c r="T12" s="37">
        <v>1.3985251772085667</v>
      </c>
      <c r="U12" s="32" t="s">
        <v>50</v>
      </c>
      <c r="V12" s="37">
        <v>1.1289606562800796</v>
      </c>
      <c r="W12" s="32" t="s">
        <v>50</v>
      </c>
      <c r="X12" s="37">
        <v>1.6680896981370534</v>
      </c>
      <c r="Y12" s="63"/>
    </row>
    <row r="13" spans="2:25" x14ac:dyDescent="0.35">
      <c r="B13" s="32" t="s">
        <v>51</v>
      </c>
      <c r="C13" s="58">
        <v>5142616183.3080902</v>
      </c>
      <c r="D13" s="32" t="s">
        <v>51</v>
      </c>
      <c r="E13" s="58">
        <v>4206202936.9605088</v>
      </c>
      <c r="F13" s="32" t="s">
        <v>51</v>
      </c>
      <c r="G13" s="58">
        <v>6079029429.6556664</v>
      </c>
      <c r="H13" s="69"/>
      <c r="I13" s="69"/>
      <c r="J13" s="69"/>
      <c r="K13" s="32" t="s">
        <v>51</v>
      </c>
      <c r="L13" s="58">
        <v>1943942795.3611951</v>
      </c>
      <c r="M13" s="32" t="s">
        <v>51</v>
      </c>
      <c r="N13" s="58">
        <v>1499429642.812438</v>
      </c>
      <c r="O13" s="32" t="s">
        <v>51</v>
      </c>
      <c r="P13" s="58">
        <v>2388455947.9099522</v>
      </c>
      <c r="Q13" s="69"/>
      <c r="R13" s="69"/>
      <c r="S13" s="32" t="s">
        <v>51</v>
      </c>
      <c r="T13" s="58">
        <v>78943294.764084563</v>
      </c>
      <c r="U13" s="32" t="s">
        <v>51</v>
      </c>
      <c r="V13" s="58">
        <v>25545635.969594344</v>
      </c>
      <c r="W13" s="32" t="s">
        <v>51</v>
      </c>
      <c r="X13" s="58">
        <v>132340953.55857471</v>
      </c>
      <c r="Y13" s="71"/>
    </row>
    <row r="14" spans="2:25" x14ac:dyDescent="0.35">
      <c r="C14" s="26"/>
      <c r="E14" s="26"/>
      <c r="G14" s="26"/>
      <c r="H14" s="69"/>
      <c r="I14" s="69"/>
      <c r="J14" s="69"/>
      <c r="K14" s="90"/>
      <c r="L14" s="91"/>
      <c r="M14" s="90"/>
      <c r="N14" s="91"/>
      <c r="O14" s="90"/>
      <c r="P14" s="91"/>
      <c r="Q14" s="69"/>
      <c r="R14" s="69"/>
      <c r="S14" s="90"/>
      <c r="T14" s="91"/>
      <c r="V14" s="26"/>
      <c r="X14" s="26"/>
      <c r="Y14" s="83"/>
    </row>
    <row r="15" spans="2:25" x14ac:dyDescent="0.35">
      <c r="B15" s="152" t="s">
        <v>13</v>
      </c>
      <c r="C15" s="152"/>
      <c r="D15" s="152" t="s">
        <v>13</v>
      </c>
      <c r="E15" s="152"/>
      <c r="F15" s="152" t="s">
        <v>13</v>
      </c>
      <c r="G15" s="152"/>
      <c r="H15" s="69"/>
      <c r="I15" s="69"/>
      <c r="J15" s="69"/>
      <c r="K15" s="90"/>
      <c r="L15" s="92"/>
      <c r="M15" s="90"/>
      <c r="N15" s="92"/>
      <c r="O15" s="90"/>
      <c r="P15" s="92"/>
      <c r="Q15" s="69"/>
      <c r="R15" s="69"/>
      <c r="S15" s="80" t="s">
        <v>13</v>
      </c>
      <c r="T15" s="80"/>
      <c r="U15" s="152" t="s">
        <v>13</v>
      </c>
      <c r="V15" s="152"/>
      <c r="W15" s="152" t="s">
        <v>13</v>
      </c>
      <c r="X15" s="152"/>
      <c r="Y15" s="62"/>
    </row>
    <row r="16" spans="2:25" x14ac:dyDescent="0.35">
      <c r="B16" s="150" t="s">
        <v>67</v>
      </c>
      <c r="C16" s="150"/>
      <c r="D16" s="150" t="s">
        <v>93</v>
      </c>
      <c r="E16" s="150"/>
      <c r="F16" s="150" t="s">
        <v>95</v>
      </c>
      <c r="G16" s="150"/>
      <c r="H16" s="69"/>
      <c r="I16" s="69"/>
      <c r="J16" s="69"/>
      <c r="Q16" s="69"/>
      <c r="R16" s="69"/>
      <c r="S16" s="150" t="s">
        <v>67</v>
      </c>
      <c r="T16" s="150"/>
      <c r="U16" s="150" t="s">
        <v>93</v>
      </c>
      <c r="V16" s="150"/>
      <c r="W16" s="150" t="s">
        <v>95</v>
      </c>
      <c r="X16" s="150"/>
      <c r="Y16" s="63"/>
    </row>
    <row r="17" spans="2:25" x14ac:dyDescent="0.35">
      <c r="C17" s="66" t="s">
        <v>65</v>
      </c>
      <c r="E17" s="66" t="s">
        <v>65</v>
      </c>
      <c r="G17" s="66" t="s">
        <v>65</v>
      </c>
      <c r="H17" s="69"/>
      <c r="I17" s="69"/>
      <c r="J17" s="69"/>
      <c r="K17" s="152" t="s">
        <v>13</v>
      </c>
      <c r="L17" s="152"/>
      <c r="M17" s="80" t="s">
        <v>13</v>
      </c>
      <c r="N17" s="80"/>
      <c r="O17" s="80" t="s">
        <v>13</v>
      </c>
      <c r="P17" s="80"/>
      <c r="Q17" s="69"/>
      <c r="R17" s="69"/>
      <c r="T17" s="66" t="s">
        <v>65</v>
      </c>
      <c r="V17" s="66" t="s">
        <v>65</v>
      </c>
      <c r="X17" s="66" t="s">
        <v>65</v>
      </c>
      <c r="Y17" s="62"/>
    </row>
    <row r="18" spans="2:25" x14ac:dyDescent="0.35">
      <c r="B18" s="32" t="s">
        <v>50</v>
      </c>
      <c r="C18" s="37">
        <v>8.1735263374946747</v>
      </c>
      <c r="D18" s="32" t="s">
        <v>50</v>
      </c>
      <c r="E18" s="37">
        <v>6.8525823703166626</v>
      </c>
      <c r="F18" s="32" t="s">
        <v>50</v>
      </c>
      <c r="G18" s="37">
        <v>9.4944703046726868</v>
      </c>
      <c r="H18" s="69"/>
      <c r="I18" s="69"/>
      <c r="J18" s="69"/>
      <c r="K18" s="150" t="s">
        <v>67</v>
      </c>
      <c r="L18" s="150"/>
      <c r="M18" s="150" t="s">
        <v>93</v>
      </c>
      <c r="N18" s="150"/>
      <c r="O18" s="150" t="s">
        <v>95</v>
      </c>
      <c r="P18" s="150"/>
      <c r="Q18" s="69"/>
      <c r="R18" s="69"/>
      <c r="S18" s="32" t="s">
        <v>50</v>
      </c>
      <c r="T18" s="37">
        <v>1.5513208752645677</v>
      </c>
      <c r="U18" s="32" t="s">
        <v>50</v>
      </c>
      <c r="V18" s="37">
        <v>1.2407030628468021</v>
      </c>
      <c r="W18" s="32" t="s">
        <v>50</v>
      </c>
      <c r="X18" s="37">
        <v>1.8619386876823332</v>
      </c>
      <c r="Y18" s="63"/>
    </row>
    <row r="19" spans="2:25" x14ac:dyDescent="0.35">
      <c r="B19" s="32" t="s">
        <v>51</v>
      </c>
      <c r="C19" s="58">
        <v>6609826734.3053646</v>
      </c>
      <c r="D19" s="32" t="s">
        <v>51</v>
      </c>
      <c r="E19" s="58">
        <v>5392683262.8809662</v>
      </c>
      <c r="F19" s="32" t="s">
        <v>51</v>
      </c>
      <c r="G19" s="58">
        <v>7826970205.7297621</v>
      </c>
      <c r="H19" s="69"/>
      <c r="I19" s="69"/>
      <c r="J19" s="69"/>
      <c r="L19" s="66" t="s">
        <v>65</v>
      </c>
      <c r="N19" s="66" t="s">
        <v>65</v>
      </c>
      <c r="P19" s="66" t="s">
        <v>65</v>
      </c>
      <c r="Q19" s="69"/>
      <c r="R19" s="69"/>
      <c r="S19" s="32" t="s">
        <v>51</v>
      </c>
      <c r="T19" s="58">
        <v>109210380.8107115</v>
      </c>
      <c r="U19" s="32" t="s">
        <v>51</v>
      </c>
      <c r="V19" s="58">
        <v>47680532.944066681</v>
      </c>
      <c r="W19" s="32" t="s">
        <v>51</v>
      </c>
      <c r="X19" s="58">
        <v>170740228.67735639</v>
      </c>
      <c r="Y19" s="70"/>
    </row>
    <row r="20" spans="2:25" x14ac:dyDescent="0.35">
      <c r="B20" s="71"/>
      <c r="C20" s="71"/>
      <c r="D20" s="71"/>
      <c r="E20" s="71"/>
      <c r="F20" s="71"/>
      <c r="G20" s="71"/>
      <c r="H20" s="69"/>
      <c r="I20" s="69"/>
      <c r="J20" s="69"/>
      <c r="K20" s="32" t="s">
        <v>50</v>
      </c>
      <c r="L20" s="37">
        <v>5.0119157718622898</v>
      </c>
      <c r="M20" s="32" t="s">
        <v>50</v>
      </c>
      <c r="N20" s="37">
        <v>4.0774805717537861</v>
      </c>
      <c r="O20" s="32" t="s">
        <v>50</v>
      </c>
      <c r="P20" s="37">
        <v>5.9463509719707934</v>
      </c>
      <c r="Q20" s="69"/>
      <c r="R20" s="69"/>
      <c r="S20" s="71"/>
      <c r="T20" s="71"/>
      <c r="U20" s="71"/>
      <c r="V20" s="71"/>
      <c r="W20" s="71"/>
      <c r="X20" s="71"/>
      <c r="Y20" s="71"/>
    </row>
    <row r="21" spans="2:25" x14ac:dyDescent="0.35">
      <c r="B21" s="69"/>
      <c r="C21" s="83"/>
      <c r="D21" s="83"/>
      <c r="E21" s="83"/>
      <c r="F21" s="83"/>
      <c r="G21" s="83"/>
      <c r="H21" s="69"/>
      <c r="I21" s="69"/>
      <c r="J21" s="69"/>
      <c r="K21" s="32" t="s">
        <v>51</v>
      </c>
      <c r="L21" s="58">
        <v>1993530964.6649826</v>
      </c>
      <c r="M21" s="32" t="s">
        <v>51</v>
      </c>
      <c r="N21" s="58">
        <v>1529207780.4759696</v>
      </c>
      <c r="O21" s="32" t="s">
        <v>51</v>
      </c>
      <c r="P21" s="58">
        <v>2457854148.8539953</v>
      </c>
      <c r="Q21" s="69"/>
      <c r="R21" s="69"/>
      <c r="S21" s="69"/>
      <c r="T21" s="69"/>
      <c r="U21" s="69"/>
      <c r="V21" s="69"/>
      <c r="W21" s="69"/>
      <c r="X21" s="83"/>
      <c r="Y21" s="83"/>
    </row>
    <row r="22" spans="2:25" x14ac:dyDescent="0.35">
      <c r="B22" s="68"/>
      <c r="C22" s="62"/>
      <c r="D22" s="62"/>
      <c r="E22" s="62"/>
      <c r="F22" s="62"/>
      <c r="G22" s="62"/>
      <c r="H22" s="69"/>
      <c r="I22" s="69"/>
      <c r="J22" s="69"/>
      <c r="K22" s="90"/>
      <c r="L22" s="91"/>
      <c r="M22" s="90"/>
      <c r="N22" s="91"/>
      <c r="O22" s="90"/>
      <c r="P22" s="91"/>
      <c r="Q22" s="69"/>
      <c r="R22" s="69"/>
      <c r="S22" s="68"/>
      <c r="T22" s="68"/>
      <c r="U22" s="68"/>
      <c r="V22" s="68"/>
      <c r="W22" s="68"/>
      <c r="X22" s="62"/>
      <c r="Y22" s="62"/>
    </row>
    <row r="23" spans="2:25" x14ac:dyDescent="0.35">
      <c r="B23" s="68"/>
      <c r="C23" s="63"/>
      <c r="D23" s="63"/>
      <c r="E23" s="63"/>
      <c r="F23" s="63"/>
      <c r="G23" s="63"/>
      <c r="H23" s="69"/>
      <c r="I23" s="69"/>
      <c r="J23" s="69"/>
      <c r="K23" s="90"/>
      <c r="L23" s="92"/>
      <c r="M23" s="90"/>
      <c r="N23" s="92"/>
      <c r="O23" s="90"/>
      <c r="P23" s="92"/>
      <c r="Q23" s="69"/>
      <c r="R23" s="69"/>
      <c r="S23" s="68"/>
      <c r="T23" s="68"/>
      <c r="U23" s="68"/>
      <c r="V23" s="68"/>
      <c r="W23" s="68"/>
      <c r="X23" s="63"/>
      <c r="Y23" s="63"/>
    </row>
    <row r="24" spans="2:25" x14ac:dyDescent="0.35">
      <c r="B24" s="71"/>
      <c r="C24" s="71"/>
      <c r="D24" s="71"/>
      <c r="E24" s="71"/>
      <c r="F24" s="71"/>
      <c r="G24" s="71"/>
      <c r="H24" s="69"/>
      <c r="I24" s="69"/>
      <c r="J24" s="69"/>
      <c r="K24" s="69"/>
      <c r="L24" s="69"/>
      <c r="M24" s="69"/>
      <c r="N24" s="71"/>
      <c r="O24" s="71"/>
      <c r="P24" s="71"/>
      <c r="Q24" s="69"/>
      <c r="R24" s="69"/>
      <c r="S24" s="71"/>
      <c r="T24" s="71"/>
      <c r="U24" s="71"/>
      <c r="V24" s="71"/>
      <c r="W24" s="71"/>
      <c r="X24" s="71"/>
      <c r="Y24" s="71"/>
    </row>
    <row r="28" spans="2:25" x14ac:dyDescent="0.35">
      <c r="B28" s="155" t="s">
        <v>59</v>
      </c>
      <c r="C28" s="155"/>
      <c r="D28" s="155"/>
      <c r="E28" s="155"/>
      <c r="F28" s="155"/>
      <c r="G28" s="155"/>
      <c r="K28" s="155" t="s">
        <v>60</v>
      </c>
      <c r="L28" s="155"/>
      <c r="M28" s="155"/>
      <c r="N28" s="155"/>
      <c r="O28" s="155"/>
      <c r="P28" s="155"/>
      <c r="S28" s="155" t="s">
        <v>61</v>
      </c>
      <c r="T28" s="155"/>
      <c r="U28" s="155"/>
      <c r="V28" s="155"/>
      <c r="W28" s="155"/>
      <c r="X28" s="155"/>
      <c r="Y28" s="96"/>
    </row>
    <row r="30" spans="2:25" x14ac:dyDescent="0.35">
      <c r="B30" s="154" t="s">
        <v>104</v>
      </c>
      <c r="C30" s="154"/>
      <c r="D30" s="154" t="s">
        <v>105</v>
      </c>
      <c r="E30" s="154"/>
      <c r="F30" s="154" t="s">
        <v>106</v>
      </c>
      <c r="G30" s="154"/>
      <c r="H30" s="69"/>
      <c r="I30" s="69"/>
      <c r="J30" s="69"/>
      <c r="K30" s="154" t="s">
        <v>104</v>
      </c>
      <c r="L30" s="154"/>
      <c r="M30" s="154" t="s">
        <v>105</v>
      </c>
      <c r="N30" s="154"/>
      <c r="O30" s="154" t="s">
        <v>106</v>
      </c>
      <c r="P30" s="154"/>
      <c r="Q30" s="69"/>
      <c r="R30" s="69"/>
      <c r="S30" s="154" t="s">
        <v>104</v>
      </c>
      <c r="T30" s="154"/>
      <c r="U30" s="154" t="s">
        <v>105</v>
      </c>
      <c r="V30" s="154"/>
      <c r="W30" s="154" t="s">
        <v>106</v>
      </c>
      <c r="X30" s="154"/>
      <c r="Y30" s="70"/>
    </row>
    <row r="31" spans="2:25" x14ac:dyDescent="0.35">
      <c r="B31" s="151" t="s">
        <v>12</v>
      </c>
      <c r="C31" s="151"/>
      <c r="D31" s="151" t="s">
        <v>12</v>
      </c>
      <c r="E31" s="151"/>
      <c r="F31" s="151" t="s">
        <v>12</v>
      </c>
      <c r="G31" s="151"/>
      <c r="H31" s="69"/>
      <c r="I31" s="69"/>
      <c r="J31" s="69"/>
      <c r="K31" s="151" t="s">
        <v>12</v>
      </c>
      <c r="L31" s="151"/>
      <c r="M31" s="151" t="s">
        <v>12</v>
      </c>
      <c r="N31" s="151"/>
      <c r="O31" s="151" t="s">
        <v>12</v>
      </c>
      <c r="P31" s="151"/>
      <c r="Q31" s="69"/>
      <c r="R31" s="69"/>
      <c r="S31" s="151" t="s">
        <v>12</v>
      </c>
      <c r="T31" s="151"/>
      <c r="U31" s="151" t="s">
        <v>12</v>
      </c>
      <c r="V31" s="151"/>
      <c r="W31" s="151" t="s">
        <v>12</v>
      </c>
      <c r="X31" s="151"/>
      <c r="Y31" s="71"/>
    </row>
    <row r="32" spans="2:25" x14ac:dyDescent="0.35">
      <c r="B32" s="150" t="s">
        <v>72</v>
      </c>
      <c r="C32" s="150"/>
      <c r="D32" s="150" t="s">
        <v>96</v>
      </c>
      <c r="E32" s="150"/>
      <c r="F32" s="150" t="s">
        <v>98</v>
      </c>
      <c r="G32" s="150"/>
      <c r="H32" s="69"/>
      <c r="I32" s="69"/>
      <c r="J32" s="69"/>
      <c r="K32" s="150" t="s">
        <v>72</v>
      </c>
      <c r="L32" s="150"/>
      <c r="M32" s="150" t="s">
        <v>96</v>
      </c>
      <c r="N32" s="150"/>
      <c r="O32" s="150" t="s">
        <v>98</v>
      </c>
      <c r="P32" s="150"/>
      <c r="Q32" s="69"/>
      <c r="R32" s="69"/>
      <c r="S32" s="150" t="s">
        <v>72</v>
      </c>
      <c r="T32" s="150"/>
      <c r="U32" s="150" t="s">
        <v>96</v>
      </c>
      <c r="V32" s="150"/>
      <c r="W32" s="150" t="s">
        <v>98</v>
      </c>
      <c r="X32" s="150"/>
      <c r="Y32" s="83"/>
    </row>
    <row r="33" spans="2:25" x14ac:dyDescent="0.35">
      <c r="C33" s="66" t="s">
        <v>65</v>
      </c>
      <c r="E33" s="66" t="s">
        <v>65</v>
      </c>
      <c r="G33" s="66" t="s">
        <v>65</v>
      </c>
      <c r="H33" s="69"/>
      <c r="I33" s="69"/>
      <c r="J33" s="69"/>
      <c r="L33" s="66" t="s">
        <v>65</v>
      </c>
      <c r="N33" s="66" t="s">
        <v>65</v>
      </c>
      <c r="P33" s="66" t="s">
        <v>65</v>
      </c>
      <c r="Q33" s="69"/>
      <c r="R33" s="69"/>
      <c r="T33" s="66" t="s">
        <v>65</v>
      </c>
      <c r="V33" s="66" t="s">
        <v>65</v>
      </c>
      <c r="X33" s="66" t="s">
        <v>65</v>
      </c>
      <c r="Y33" s="62"/>
    </row>
    <row r="34" spans="2:25" x14ac:dyDescent="0.35">
      <c r="B34" s="32" t="s">
        <v>50</v>
      </c>
      <c r="C34" s="37">
        <v>4.0448209700797291</v>
      </c>
      <c r="D34" s="32" t="s">
        <v>50</v>
      </c>
      <c r="E34" s="37">
        <v>3.4495430929796989</v>
      </c>
      <c r="F34" s="32" t="s">
        <v>50</v>
      </c>
      <c r="G34" s="37">
        <v>4.640098847179762</v>
      </c>
      <c r="H34" s="69"/>
      <c r="I34" s="69"/>
      <c r="J34" s="69"/>
      <c r="K34" s="32" t="s">
        <v>50</v>
      </c>
      <c r="L34" s="37">
        <v>3.1662670128751098</v>
      </c>
      <c r="M34" s="32" t="s">
        <v>50</v>
      </c>
      <c r="N34" s="37">
        <v>2.6369272772328687</v>
      </c>
      <c r="O34" s="32" t="s">
        <v>50</v>
      </c>
      <c r="P34" s="37">
        <v>3.6956067485173532</v>
      </c>
      <c r="Q34" s="69"/>
      <c r="R34" s="69"/>
      <c r="S34" s="32" t="s">
        <v>50</v>
      </c>
      <c r="T34" s="37">
        <v>1.2540138187608842</v>
      </c>
      <c r="U34" s="32" t="s">
        <v>50</v>
      </c>
      <c r="V34" s="37">
        <v>1.0551368455798265</v>
      </c>
      <c r="W34" s="32" t="s">
        <v>50</v>
      </c>
      <c r="X34" s="37">
        <v>1.4528907919419416</v>
      </c>
      <c r="Y34" s="63"/>
    </row>
    <row r="35" spans="2:25" x14ac:dyDescent="0.35">
      <c r="B35" s="32" t="s">
        <v>51</v>
      </c>
      <c r="C35" s="58">
        <v>5611114562.7257614</v>
      </c>
      <c r="D35" s="32" t="s">
        <v>51</v>
      </c>
      <c r="E35" s="58">
        <v>4514113327.5506783</v>
      </c>
      <c r="F35" s="32" t="s">
        <v>51</v>
      </c>
      <c r="G35" s="58">
        <v>6708115797.9008484</v>
      </c>
      <c r="H35" s="69"/>
      <c r="I35" s="69"/>
      <c r="J35" s="69"/>
      <c r="K35" s="32" t="s">
        <v>51</v>
      </c>
      <c r="L35" s="58">
        <v>2152846975.5955205</v>
      </c>
      <c r="M35" s="32" t="s">
        <v>51</v>
      </c>
      <c r="N35" s="58">
        <v>1626786502.8251526</v>
      </c>
      <c r="O35" s="32" t="s">
        <v>51</v>
      </c>
      <c r="P35" s="58">
        <v>2678907448.3658886</v>
      </c>
      <c r="Q35" s="69"/>
      <c r="R35" s="69"/>
      <c r="S35" s="32" t="s">
        <v>51</v>
      </c>
      <c r="T35" s="58">
        <v>100634483.91917647</v>
      </c>
      <c r="U35" s="32" t="s">
        <v>51</v>
      </c>
      <c r="V35" s="58">
        <v>21843961.194412015</v>
      </c>
      <c r="W35" s="32" t="s">
        <v>51</v>
      </c>
      <c r="X35" s="58">
        <v>179425006.64394084</v>
      </c>
      <c r="Y35" s="71"/>
    </row>
    <row r="36" spans="2:25" x14ac:dyDescent="0.35">
      <c r="C36" s="26"/>
      <c r="E36" s="26"/>
      <c r="G36" s="26"/>
      <c r="H36" s="69"/>
      <c r="I36" s="69"/>
      <c r="J36" s="69"/>
      <c r="K36" s="90"/>
      <c r="L36" s="91"/>
      <c r="M36" s="90"/>
      <c r="N36" s="91"/>
      <c r="O36" s="90"/>
      <c r="P36" s="91"/>
      <c r="Q36" s="69"/>
      <c r="R36" s="69"/>
      <c r="S36" s="90"/>
      <c r="T36" s="91"/>
      <c r="V36" s="26"/>
      <c r="X36" s="26"/>
      <c r="Y36" s="83"/>
    </row>
    <row r="37" spans="2:25" x14ac:dyDescent="0.35">
      <c r="B37" s="152" t="s">
        <v>13</v>
      </c>
      <c r="C37" s="152"/>
      <c r="D37" s="152" t="s">
        <v>13</v>
      </c>
      <c r="E37" s="152"/>
      <c r="F37" s="152" t="s">
        <v>13</v>
      </c>
      <c r="G37" s="152"/>
      <c r="H37" s="69"/>
      <c r="I37" s="69"/>
      <c r="J37" s="69"/>
      <c r="K37" s="90"/>
      <c r="L37" s="92"/>
      <c r="M37" s="90"/>
      <c r="N37" s="92"/>
      <c r="O37" s="90"/>
      <c r="P37" s="92"/>
      <c r="Q37" s="69"/>
      <c r="R37" s="69"/>
      <c r="S37" s="152" t="s">
        <v>13</v>
      </c>
      <c r="T37" s="152"/>
      <c r="U37" s="152" t="s">
        <v>13</v>
      </c>
      <c r="V37" s="152"/>
      <c r="W37" s="152" t="s">
        <v>13</v>
      </c>
      <c r="X37" s="152"/>
      <c r="Y37" s="62"/>
    </row>
    <row r="38" spans="2:25" x14ac:dyDescent="0.35">
      <c r="B38" s="150" t="s">
        <v>73</v>
      </c>
      <c r="C38" s="150"/>
      <c r="D38" s="150" t="s">
        <v>97</v>
      </c>
      <c r="E38" s="150"/>
      <c r="F38" s="150" t="s">
        <v>99</v>
      </c>
      <c r="G38" s="150"/>
      <c r="H38" s="69"/>
      <c r="I38" s="69"/>
      <c r="J38" s="69"/>
      <c r="Q38" s="69"/>
      <c r="R38" s="69"/>
      <c r="S38" s="150" t="s">
        <v>73</v>
      </c>
      <c r="T38" s="150"/>
      <c r="U38" s="150" t="s">
        <v>97</v>
      </c>
      <c r="V38" s="150"/>
      <c r="W38" s="150" t="s">
        <v>99</v>
      </c>
      <c r="X38" s="150"/>
      <c r="Y38" s="63"/>
    </row>
    <row r="39" spans="2:25" x14ac:dyDescent="0.35">
      <c r="C39" s="66" t="s">
        <v>65</v>
      </c>
      <c r="E39" s="66" t="s">
        <v>65</v>
      </c>
      <c r="G39" s="66" t="s">
        <v>65</v>
      </c>
      <c r="H39" s="69"/>
      <c r="I39" s="69"/>
      <c r="J39" s="69"/>
      <c r="K39" s="152" t="s">
        <v>13</v>
      </c>
      <c r="L39" s="152"/>
      <c r="M39" s="80" t="s">
        <v>13</v>
      </c>
      <c r="N39" s="80"/>
      <c r="O39" s="80" t="s">
        <v>13</v>
      </c>
      <c r="P39" s="80"/>
      <c r="Q39" s="69"/>
      <c r="R39" s="69"/>
      <c r="T39" s="66" t="s">
        <v>65</v>
      </c>
      <c r="V39" s="66" t="s">
        <v>65</v>
      </c>
      <c r="X39" s="66" t="s">
        <v>65</v>
      </c>
      <c r="Y39" s="62"/>
    </row>
    <row r="40" spans="2:25" x14ac:dyDescent="0.35">
      <c r="B40" s="32" t="s">
        <v>50</v>
      </c>
      <c r="C40" s="37">
        <v>5.0378223985272941</v>
      </c>
      <c r="D40" s="32" t="s">
        <v>50</v>
      </c>
      <c r="E40" s="37">
        <v>4.1918858477393313</v>
      </c>
      <c r="F40" s="32" t="s">
        <v>50</v>
      </c>
      <c r="G40" s="37">
        <v>5.8837589493152578</v>
      </c>
      <c r="H40" s="69"/>
      <c r="I40" s="69"/>
      <c r="J40" s="69"/>
      <c r="K40" s="150" t="s">
        <v>73</v>
      </c>
      <c r="L40" s="150"/>
      <c r="M40" s="150" t="s">
        <v>97</v>
      </c>
      <c r="N40" s="150"/>
      <c r="O40" s="150" t="s">
        <v>99</v>
      </c>
      <c r="P40" s="150"/>
      <c r="Q40" s="69"/>
      <c r="R40" s="69"/>
      <c r="S40" s="32" t="s">
        <v>50</v>
      </c>
      <c r="T40" s="37">
        <v>1.4751867978822584</v>
      </c>
      <c r="U40" s="32" t="s">
        <v>50</v>
      </c>
      <c r="V40" s="37">
        <v>1.1834643544449519</v>
      </c>
      <c r="W40" s="32" t="s">
        <v>50</v>
      </c>
      <c r="X40" s="37">
        <v>1.7669092413195646</v>
      </c>
      <c r="Y40" s="63"/>
    </row>
    <row r="41" spans="2:25" x14ac:dyDescent="0.35">
      <c r="B41" s="32" t="s">
        <v>51</v>
      </c>
      <c r="C41" s="58">
        <v>7441056234.4108858</v>
      </c>
      <c r="D41" s="32" t="s">
        <v>51</v>
      </c>
      <c r="E41" s="58">
        <v>5882131441.816576</v>
      </c>
      <c r="F41" s="32" t="s">
        <v>51</v>
      </c>
      <c r="G41" s="58">
        <v>8999981027.0051975</v>
      </c>
      <c r="H41" s="69"/>
      <c r="I41" s="69"/>
      <c r="J41" s="69"/>
      <c r="L41" s="66" t="s">
        <v>65</v>
      </c>
      <c r="N41" s="66" t="s">
        <v>65</v>
      </c>
      <c r="P41" s="66" t="s">
        <v>65</v>
      </c>
      <c r="Q41" s="69"/>
      <c r="R41" s="69"/>
      <c r="S41" s="32" t="s">
        <v>51</v>
      </c>
      <c r="T41" s="58">
        <v>188258175.88728353</v>
      </c>
      <c r="U41" s="32" t="s">
        <v>51</v>
      </c>
      <c r="V41" s="58">
        <v>72684394.562457293</v>
      </c>
      <c r="W41" s="32" t="s">
        <v>51</v>
      </c>
      <c r="X41" s="58">
        <v>303831957.21210963</v>
      </c>
      <c r="Y41" s="70"/>
    </row>
    <row r="42" spans="2:25" x14ac:dyDescent="0.35">
      <c r="B42" s="71"/>
      <c r="C42" s="71"/>
      <c r="D42" s="71"/>
      <c r="E42" s="71"/>
      <c r="F42" s="71"/>
      <c r="G42" s="71"/>
      <c r="H42" s="69"/>
      <c r="I42" s="69"/>
      <c r="J42" s="69"/>
      <c r="K42" s="32" t="s">
        <v>50</v>
      </c>
      <c r="L42" s="37">
        <v>3.4015090414054439</v>
      </c>
      <c r="M42" s="32" t="s">
        <v>50</v>
      </c>
      <c r="N42" s="37">
        <v>2.7596514165727188</v>
      </c>
      <c r="O42" s="32" t="s">
        <v>50</v>
      </c>
      <c r="P42" s="37">
        <v>4.0433666662381684</v>
      </c>
      <c r="Q42" s="69"/>
      <c r="R42" s="69"/>
      <c r="S42" s="71"/>
      <c r="T42" s="71"/>
      <c r="W42" s="71"/>
      <c r="X42" s="71"/>
      <c r="Y42" s="71"/>
    </row>
    <row r="43" spans="2:25" x14ac:dyDescent="0.35">
      <c r="B43" s="69"/>
      <c r="C43" s="83"/>
      <c r="D43" s="83"/>
      <c r="E43" s="83"/>
      <c r="F43" s="83"/>
      <c r="G43" s="83"/>
      <c r="H43" s="69"/>
      <c r="I43" s="69"/>
      <c r="J43" s="69"/>
      <c r="K43" s="32" t="s">
        <v>51</v>
      </c>
      <c r="L43" s="58">
        <v>2386631678.3327546</v>
      </c>
      <c r="M43" s="32" t="s">
        <v>51</v>
      </c>
      <c r="N43" s="58">
        <v>1748750365.3776734</v>
      </c>
      <c r="O43" s="32" t="s">
        <v>51</v>
      </c>
      <c r="P43" s="58">
        <v>3024512991.2878356</v>
      </c>
      <c r="Q43" s="69"/>
      <c r="R43" s="69"/>
      <c r="S43" s="69"/>
      <c r="T43" s="69"/>
      <c r="U43" s="69"/>
      <c r="V43" s="69"/>
      <c r="W43" s="69"/>
      <c r="X43" s="83"/>
      <c r="Y43" s="83"/>
    </row>
    <row r="44" spans="2:25" x14ac:dyDescent="0.35">
      <c r="B44" s="68"/>
      <c r="C44" s="62"/>
      <c r="D44" s="62"/>
      <c r="E44" s="62"/>
      <c r="F44" s="62"/>
      <c r="G44" s="62"/>
      <c r="H44" s="69"/>
      <c r="I44" s="69"/>
      <c r="J44" s="69"/>
      <c r="K44" s="90"/>
      <c r="L44" s="91"/>
      <c r="M44" s="90"/>
      <c r="N44" s="91"/>
      <c r="O44" s="90"/>
      <c r="P44" s="91"/>
      <c r="Q44" s="69"/>
      <c r="R44" s="69"/>
      <c r="S44" s="68"/>
      <c r="T44" s="68"/>
      <c r="U44" s="68"/>
      <c r="V44" s="68"/>
      <c r="W44" s="68"/>
      <c r="X44" s="62"/>
      <c r="Y44" s="62"/>
    </row>
    <row r="45" spans="2:25" x14ac:dyDescent="0.35">
      <c r="B45" s="68"/>
      <c r="C45" s="63"/>
      <c r="D45" s="63"/>
      <c r="E45" s="63"/>
      <c r="F45" s="63"/>
      <c r="G45" s="63"/>
      <c r="H45" s="69"/>
      <c r="I45" s="69"/>
      <c r="J45" s="69"/>
      <c r="K45" s="90"/>
      <c r="L45" s="92"/>
      <c r="M45" s="90"/>
      <c r="N45" s="92"/>
      <c r="O45" s="90"/>
      <c r="P45" s="92"/>
      <c r="Q45" s="69"/>
      <c r="R45" s="69"/>
      <c r="S45" s="68"/>
      <c r="T45" s="68"/>
      <c r="U45" s="68"/>
      <c r="V45" s="68"/>
      <c r="W45" s="68"/>
      <c r="X45" s="63"/>
      <c r="Y45" s="63"/>
    </row>
    <row r="46" spans="2:25" x14ac:dyDescent="0.35">
      <c r="B46" s="71"/>
      <c r="C46" s="71"/>
      <c r="D46" s="71"/>
      <c r="E46" s="71"/>
      <c r="F46" s="71"/>
      <c r="G46" s="71"/>
      <c r="H46" s="69"/>
      <c r="I46" s="69"/>
      <c r="J46" s="69"/>
      <c r="K46" s="69"/>
      <c r="L46" s="69"/>
      <c r="M46" s="69"/>
      <c r="N46" s="71"/>
      <c r="O46" s="71"/>
      <c r="P46" s="71"/>
      <c r="Q46" s="69"/>
      <c r="R46" s="69"/>
      <c r="S46" s="71"/>
      <c r="T46" s="71"/>
      <c r="U46" s="71"/>
      <c r="V46" s="71"/>
      <c r="W46" s="71"/>
      <c r="X46" s="71"/>
      <c r="Y46" s="71"/>
    </row>
    <row r="47" spans="2:25" x14ac:dyDescent="0.35">
      <c r="B47" s="69"/>
      <c r="C47" s="83"/>
      <c r="D47" s="83"/>
      <c r="E47" s="83"/>
      <c r="F47" s="83"/>
      <c r="G47" s="83"/>
      <c r="H47" s="69"/>
      <c r="I47" s="69"/>
      <c r="J47" s="69"/>
      <c r="K47" s="69"/>
      <c r="L47" s="69"/>
      <c r="M47" s="69"/>
      <c r="N47" s="69"/>
      <c r="O47" s="83"/>
      <c r="P47" s="83"/>
      <c r="Q47" s="69"/>
      <c r="R47" s="69"/>
      <c r="S47" s="69"/>
      <c r="T47" s="69"/>
      <c r="U47" s="69"/>
      <c r="V47" s="69"/>
      <c r="W47" s="69"/>
      <c r="X47" s="83"/>
      <c r="Y47" s="83"/>
    </row>
    <row r="50" spans="2:25" x14ac:dyDescent="0.35">
      <c r="B50" s="155" t="s">
        <v>62</v>
      </c>
      <c r="C50" s="155"/>
      <c r="D50" s="155"/>
      <c r="E50" s="155"/>
      <c r="F50" s="155"/>
      <c r="G50" s="155"/>
      <c r="K50" s="155" t="s">
        <v>63</v>
      </c>
      <c r="L50" s="155"/>
      <c r="M50" s="155"/>
      <c r="N50" s="155"/>
      <c r="O50" s="155"/>
      <c r="P50" s="155"/>
      <c r="S50" s="155" t="s">
        <v>64</v>
      </c>
      <c r="T50" s="155"/>
      <c r="U50" s="155"/>
      <c r="V50" s="155"/>
      <c r="W50" s="155"/>
      <c r="X50" s="155"/>
      <c r="Y50" s="96"/>
    </row>
    <row r="52" spans="2:25" x14ac:dyDescent="0.35">
      <c r="B52" s="154" t="s">
        <v>104</v>
      </c>
      <c r="C52" s="154"/>
      <c r="D52" s="154" t="s">
        <v>105</v>
      </c>
      <c r="E52" s="154"/>
      <c r="F52" s="154" t="s">
        <v>106</v>
      </c>
      <c r="G52" s="154"/>
      <c r="H52" s="69"/>
      <c r="I52" s="69"/>
      <c r="J52" s="69"/>
      <c r="K52" s="154" t="s">
        <v>104</v>
      </c>
      <c r="L52" s="154"/>
      <c r="M52" s="154" t="s">
        <v>105</v>
      </c>
      <c r="N52" s="154"/>
      <c r="O52" s="154" t="s">
        <v>106</v>
      </c>
      <c r="P52" s="154"/>
      <c r="Q52" s="69"/>
      <c r="R52" s="69"/>
      <c r="S52" s="154" t="s">
        <v>104</v>
      </c>
      <c r="T52" s="154"/>
      <c r="U52" s="154" t="s">
        <v>105</v>
      </c>
      <c r="V52" s="154"/>
      <c r="W52" s="154" t="s">
        <v>106</v>
      </c>
      <c r="X52" s="154"/>
      <c r="Y52" s="70"/>
    </row>
    <row r="53" spans="2:25" x14ac:dyDescent="0.35">
      <c r="B53" s="151" t="s">
        <v>12</v>
      </c>
      <c r="C53" s="151"/>
      <c r="D53" s="151" t="s">
        <v>12</v>
      </c>
      <c r="E53" s="151"/>
      <c r="F53" s="151" t="s">
        <v>12</v>
      </c>
      <c r="G53" s="151"/>
      <c r="H53" s="69"/>
      <c r="I53" s="69"/>
      <c r="J53" s="69"/>
      <c r="K53" s="151" t="s">
        <v>12</v>
      </c>
      <c r="L53" s="151"/>
      <c r="M53" s="151" t="s">
        <v>12</v>
      </c>
      <c r="N53" s="151"/>
      <c r="O53" s="151" t="s">
        <v>12</v>
      </c>
      <c r="P53" s="151"/>
      <c r="Q53" s="69"/>
      <c r="R53" s="69"/>
      <c r="S53" s="151" t="s">
        <v>12</v>
      </c>
      <c r="T53" s="151"/>
      <c r="U53" s="151" t="s">
        <v>12</v>
      </c>
      <c r="V53" s="151"/>
      <c r="W53" s="151" t="s">
        <v>12</v>
      </c>
      <c r="X53" s="151"/>
      <c r="Y53" s="71"/>
    </row>
    <row r="54" spans="2:25" x14ac:dyDescent="0.35">
      <c r="B54" s="150" t="s">
        <v>76</v>
      </c>
      <c r="C54" s="150"/>
      <c r="D54" s="150" t="s">
        <v>100</v>
      </c>
      <c r="E54" s="150"/>
      <c r="F54" s="150" t="s">
        <v>102</v>
      </c>
      <c r="G54" s="150"/>
      <c r="H54" s="69"/>
      <c r="I54" s="69"/>
      <c r="J54" s="69"/>
      <c r="K54" s="150" t="s">
        <v>76</v>
      </c>
      <c r="L54" s="150"/>
      <c r="M54" s="150" t="s">
        <v>100</v>
      </c>
      <c r="N54" s="150"/>
      <c r="O54" s="150" t="s">
        <v>102</v>
      </c>
      <c r="P54" s="150"/>
      <c r="Q54" s="69"/>
      <c r="R54" s="69"/>
      <c r="S54" s="150" t="s">
        <v>76</v>
      </c>
      <c r="T54" s="150"/>
      <c r="U54" s="150" t="s">
        <v>100</v>
      </c>
      <c r="V54" s="150"/>
      <c r="W54" s="150" t="s">
        <v>102</v>
      </c>
      <c r="X54" s="150"/>
      <c r="Y54" s="83"/>
    </row>
    <row r="55" spans="2:25" x14ac:dyDescent="0.35">
      <c r="C55" s="66" t="s">
        <v>65</v>
      </c>
      <c r="E55" s="66" t="s">
        <v>65</v>
      </c>
      <c r="G55" s="66" t="s">
        <v>65</v>
      </c>
      <c r="H55" s="69"/>
      <c r="I55" s="69"/>
      <c r="J55" s="69"/>
      <c r="L55" s="66" t="s">
        <v>65</v>
      </c>
      <c r="N55" s="66" t="s">
        <v>65</v>
      </c>
      <c r="P55" s="66" t="s">
        <v>65</v>
      </c>
      <c r="Q55" s="69"/>
      <c r="R55" s="69"/>
      <c r="T55" s="66" t="s">
        <v>65</v>
      </c>
      <c r="V55" s="66" t="s">
        <v>65</v>
      </c>
      <c r="X55" s="66" t="s">
        <v>65</v>
      </c>
      <c r="Y55" s="62"/>
    </row>
    <row r="56" spans="2:25" x14ac:dyDescent="0.35">
      <c r="B56" s="32" t="s">
        <v>50</v>
      </c>
      <c r="C56" s="37">
        <v>2.661456678261819</v>
      </c>
      <c r="D56" s="32" t="s">
        <v>50</v>
      </c>
      <c r="E56" s="37">
        <v>2.2652925666064339</v>
      </c>
      <c r="F56" s="32" t="s">
        <v>50</v>
      </c>
      <c r="G56" s="37">
        <v>3.0576207899172054</v>
      </c>
      <c r="H56" s="69"/>
      <c r="I56" s="69"/>
      <c r="J56" s="69"/>
      <c r="K56" s="32" t="s">
        <v>50</v>
      </c>
      <c r="L56" s="37">
        <v>2.0778020866833327</v>
      </c>
      <c r="M56" s="32" t="s">
        <v>50</v>
      </c>
      <c r="N56" s="37">
        <v>1.7255565925385041</v>
      </c>
      <c r="O56" s="32" t="s">
        <v>50</v>
      </c>
      <c r="P56" s="37">
        <v>2.4300475808281612</v>
      </c>
      <c r="Q56" s="69"/>
      <c r="R56" s="69"/>
      <c r="S56" s="32" t="s">
        <v>50</v>
      </c>
      <c r="T56" s="74">
        <v>0.81019922770400021</v>
      </c>
      <c r="U56" s="32" t="s">
        <v>50</v>
      </c>
      <c r="V56" s="93">
        <v>0.6781204766571568</v>
      </c>
      <c r="W56" s="32" t="s">
        <v>50</v>
      </c>
      <c r="X56" s="74">
        <v>0.9422779787508434</v>
      </c>
      <c r="Y56" s="63"/>
    </row>
    <row r="57" spans="2:25" x14ac:dyDescent="0.35">
      <c r="B57" s="32" t="s">
        <v>51</v>
      </c>
      <c r="C57" s="58">
        <v>4592695525.1274223</v>
      </c>
      <c r="D57" s="32" t="s">
        <v>51</v>
      </c>
      <c r="E57" s="58">
        <v>3497595564.5799999</v>
      </c>
      <c r="F57" s="32" t="s">
        <v>51</v>
      </c>
      <c r="G57" s="58">
        <v>5687795485.6748476</v>
      </c>
      <c r="H57" s="69"/>
      <c r="I57" s="69"/>
      <c r="J57" s="69"/>
      <c r="K57" s="32" t="s">
        <v>51</v>
      </c>
      <c r="L57" s="58">
        <v>1606687644.331862</v>
      </c>
      <c r="M57" s="32" t="s">
        <v>51</v>
      </c>
      <c r="N57" s="58">
        <v>1081592647.5726395</v>
      </c>
      <c r="O57" s="32" t="s">
        <v>51</v>
      </c>
      <c r="P57" s="58">
        <v>2131782641.0910838</v>
      </c>
      <c r="Q57" s="69"/>
      <c r="R57" s="69"/>
      <c r="S57" s="32" t="s">
        <v>51</v>
      </c>
      <c r="T57" s="58">
        <v>-112792108.28358126</v>
      </c>
      <c r="U57" s="32" t="s">
        <v>51</v>
      </c>
      <c r="V57" s="58">
        <v>-191281993.28153443</v>
      </c>
      <c r="W57" s="32" t="s">
        <v>51</v>
      </c>
      <c r="X57" s="58">
        <v>-34302223.28562808</v>
      </c>
      <c r="Y57" s="71"/>
    </row>
    <row r="58" spans="2:25" x14ac:dyDescent="0.35">
      <c r="C58" s="26"/>
      <c r="E58" s="26"/>
      <c r="G58" s="26"/>
      <c r="H58" s="69"/>
      <c r="I58" s="69"/>
      <c r="J58" s="69"/>
      <c r="K58" s="90"/>
      <c r="L58" s="91"/>
      <c r="M58" s="90"/>
      <c r="N58" s="91"/>
      <c r="O58" s="90"/>
      <c r="P58" s="91"/>
      <c r="Q58" s="69"/>
      <c r="R58" s="69"/>
      <c r="S58" s="90"/>
      <c r="T58" s="91"/>
      <c r="V58" s="26"/>
      <c r="X58" s="26"/>
      <c r="Y58" s="83"/>
    </row>
    <row r="59" spans="2:25" x14ac:dyDescent="0.35">
      <c r="B59" s="152" t="s">
        <v>13</v>
      </c>
      <c r="C59" s="152"/>
      <c r="D59" s="152" t="s">
        <v>13</v>
      </c>
      <c r="E59" s="152"/>
      <c r="F59" s="152" t="s">
        <v>13</v>
      </c>
      <c r="G59" s="152"/>
      <c r="H59" s="69"/>
      <c r="I59" s="69"/>
      <c r="J59" s="69"/>
      <c r="K59" s="90"/>
      <c r="L59" s="92"/>
      <c r="M59" s="90"/>
      <c r="N59" s="92"/>
      <c r="O59" s="90"/>
      <c r="P59" s="92"/>
      <c r="Q59" s="69"/>
      <c r="R59" s="69"/>
      <c r="S59" s="152" t="s">
        <v>13</v>
      </c>
      <c r="T59" s="152"/>
      <c r="U59" s="152" t="s">
        <v>13</v>
      </c>
      <c r="V59" s="152"/>
      <c r="W59" s="152" t="s">
        <v>13</v>
      </c>
      <c r="X59" s="152"/>
      <c r="Y59" s="62"/>
    </row>
    <row r="60" spans="2:25" x14ac:dyDescent="0.35">
      <c r="B60" s="150" t="s">
        <v>77</v>
      </c>
      <c r="C60" s="150"/>
      <c r="D60" s="150" t="s">
        <v>101</v>
      </c>
      <c r="E60" s="150"/>
      <c r="F60" s="150" t="s">
        <v>103</v>
      </c>
      <c r="G60" s="150"/>
      <c r="H60" s="69"/>
      <c r="I60" s="69"/>
      <c r="J60" s="69"/>
      <c r="N60" s="91"/>
      <c r="Q60" s="69"/>
      <c r="R60" s="69"/>
      <c r="S60" s="150" t="s">
        <v>77</v>
      </c>
      <c r="T60" s="150"/>
      <c r="U60" s="150" t="s">
        <v>101</v>
      </c>
      <c r="V60" s="150"/>
      <c r="W60" s="150" t="s">
        <v>103</v>
      </c>
      <c r="X60" s="150"/>
      <c r="Y60" s="63"/>
    </row>
    <row r="61" spans="2:25" x14ac:dyDescent="0.35">
      <c r="C61" s="66" t="s">
        <v>65</v>
      </c>
      <c r="E61" s="66" t="s">
        <v>65</v>
      </c>
      <c r="G61" s="66" t="s">
        <v>65</v>
      </c>
      <c r="H61" s="69"/>
      <c r="I61" s="69"/>
      <c r="J61" s="69"/>
      <c r="K61" s="152" t="s">
        <v>13</v>
      </c>
      <c r="L61" s="152"/>
      <c r="M61" s="80" t="s">
        <v>13</v>
      </c>
      <c r="N61" s="80"/>
      <c r="O61" s="80" t="s">
        <v>13</v>
      </c>
      <c r="P61" s="80"/>
      <c r="Q61" s="69"/>
      <c r="R61" s="69"/>
      <c r="T61" s="66" t="s">
        <v>65</v>
      </c>
      <c r="V61" s="66" t="s">
        <v>65</v>
      </c>
      <c r="X61" s="66" t="s">
        <v>65</v>
      </c>
      <c r="Y61" s="62"/>
    </row>
    <row r="62" spans="2:25" x14ac:dyDescent="0.35">
      <c r="B62" s="32" t="s">
        <v>50</v>
      </c>
      <c r="C62" s="37">
        <v>3.4445608270217281</v>
      </c>
      <c r="D62" s="32" t="s">
        <v>50</v>
      </c>
      <c r="E62" s="37">
        <v>2.9078355549111761</v>
      </c>
      <c r="F62" s="32" t="s">
        <v>50</v>
      </c>
      <c r="G62" s="37">
        <v>3.9812860991322809</v>
      </c>
      <c r="H62" s="69"/>
      <c r="I62" s="69"/>
      <c r="J62" s="69"/>
      <c r="K62" s="150" t="s">
        <v>77</v>
      </c>
      <c r="L62" s="150"/>
      <c r="M62" s="150" t="s">
        <v>101</v>
      </c>
      <c r="N62" s="150"/>
      <c r="O62" s="150" t="s">
        <v>103</v>
      </c>
      <c r="P62" s="150"/>
      <c r="Q62" s="69"/>
      <c r="R62" s="69"/>
      <c r="S62" s="32" t="s">
        <v>50</v>
      </c>
      <c r="T62" s="74">
        <v>1.0467221206069237</v>
      </c>
      <c r="U62" s="32" t="s">
        <v>50</v>
      </c>
      <c r="V62" s="93">
        <v>0.87227058118809631</v>
      </c>
      <c r="W62" s="32" t="s">
        <v>50</v>
      </c>
      <c r="X62" s="74">
        <v>1.2211736600257517</v>
      </c>
      <c r="Y62" s="63"/>
    </row>
    <row r="63" spans="2:25" x14ac:dyDescent="0.35">
      <c r="B63" s="32" t="s">
        <v>51</v>
      </c>
      <c r="C63" s="58">
        <v>6757397720.9625845</v>
      </c>
      <c r="D63" s="32" t="s">
        <v>51</v>
      </c>
      <c r="E63" s="58">
        <v>5273750396.4811697</v>
      </c>
      <c r="F63" s="32" t="s">
        <v>51</v>
      </c>
      <c r="G63" s="58">
        <v>8241045045.4440012</v>
      </c>
      <c r="H63" s="69"/>
      <c r="I63" s="69"/>
      <c r="J63" s="69"/>
      <c r="L63" s="66" t="s">
        <v>65</v>
      </c>
      <c r="N63" s="66" t="s">
        <v>65</v>
      </c>
      <c r="P63" s="66" t="s">
        <v>65</v>
      </c>
      <c r="Q63" s="69"/>
      <c r="R63" s="69"/>
      <c r="S63" s="32" t="s">
        <v>51</v>
      </c>
      <c r="T63" s="58">
        <v>27765358.501893401</v>
      </c>
      <c r="U63" s="32" t="s">
        <v>51</v>
      </c>
      <c r="V63" s="58">
        <v>-75905225.586559862</v>
      </c>
      <c r="W63" s="32" t="s">
        <v>51</v>
      </c>
      <c r="X63" s="58">
        <v>131435942.59034684</v>
      </c>
      <c r="Y63" s="70"/>
    </row>
    <row r="64" spans="2:25" x14ac:dyDescent="0.35">
      <c r="B64" s="71"/>
      <c r="C64" s="71"/>
      <c r="D64" s="71"/>
      <c r="E64" s="71"/>
      <c r="F64" s="71"/>
      <c r="G64" s="71"/>
      <c r="H64" s="69"/>
      <c r="I64" s="69"/>
      <c r="J64" s="69"/>
      <c r="K64" s="32" t="s">
        <v>50</v>
      </c>
      <c r="L64" s="37">
        <v>2.3486651774706933</v>
      </c>
      <c r="M64" s="32" t="s">
        <v>50</v>
      </c>
      <c r="N64" s="37">
        <v>1.9464031162285376</v>
      </c>
      <c r="O64" s="32" t="s">
        <v>50</v>
      </c>
      <c r="P64" s="37">
        <v>2.7509272387128489</v>
      </c>
      <c r="Q64" s="69"/>
      <c r="R64" s="69"/>
      <c r="S64" s="71"/>
      <c r="T64" s="71"/>
      <c r="U64" s="71"/>
      <c r="V64" s="71"/>
      <c r="W64" s="71"/>
      <c r="X64" s="71"/>
      <c r="Y64" s="71"/>
    </row>
    <row r="65" spans="2:25" x14ac:dyDescent="0.35">
      <c r="B65" s="69"/>
      <c r="C65" s="83"/>
      <c r="D65" s="83"/>
      <c r="E65" s="83"/>
      <c r="F65" s="83"/>
      <c r="G65" s="83"/>
      <c r="H65" s="69"/>
      <c r="I65" s="69"/>
      <c r="J65" s="69"/>
      <c r="K65" s="32" t="s">
        <v>51</v>
      </c>
      <c r="L65" s="58">
        <v>2010465282.7782552</v>
      </c>
      <c r="M65" s="32" t="s">
        <v>51</v>
      </c>
      <c r="N65" s="58">
        <v>1410810214.7776964</v>
      </c>
      <c r="O65" s="32" t="s">
        <v>51</v>
      </c>
      <c r="P65" s="58">
        <v>2610120350.7788157</v>
      </c>
      <c r="Q65" s="69"/>
      <c r="R65" s="69"/>
      <c r="S65" s="69"/>
      <c r="T65" s="69"/>
      <c r="U65" s="69"/>
      <c r="V65" s="69"/>
      <c r="W65" s="69"/>
      <c r="X65" s="83"/>
      <c r="Y65" s="83"/>
    </row>
    <row r="66" spans="2:25" x14ac:dyDescent="0.35">
      <c r="B66" s="68"/>
      <c r="C66" s="62"/>
      <c r="D66" s="62"/>
      <c r="E66" s="62"/>
      <c r="F66" s="62"/>
      <c r="G66" s="62"/>
      <c r="H66" s="69"/>
      <c r="I66" s="69"/>
      <c r="J66" s="69"/>
      <c r="K66" s="90"/>
      <c r="L66" s="91"/>
      <c r="M66" s="90"/>
      <c r="N66" s="91"/>
      <c r="O66" s="90"/>
      <c r="P66" s="91"/>
      <c r="Q66" s="69"/>
      <c r="R66" s="69"/>
      <c r="S66" s="68"/>
      <c r="T66" s="68"/>
      <c r="U66" s="68"/>
      <c r="V66" s="68"/>
      <c r="W66" s="68"/>
      <c r="X66" s="62"/>
      <c r="Y66" s="62"/>
    </row>
    <row r="67" spans="2:25" x14ac:dyDescent="0.35">
      <c r="B67" s="68"/>
      <c r="C67" s="63"/>
      <c r="D67" s="63"/>
      <c r="E67" s="63"/>
      <c r="F67" s="63"/>
      <c r="G67" s="63"/>
      <c r="H67" s="69"/>
      <c r="I67" s="69"/>
      <c r="J67" s="69"/>
      <c r="K67" s="90"/>
      <c r="L67" s="92"/>
      <c r="M67" s="90"/>
      <c r="N67" s="92"/>
      <c r="O67" s="90"/>
      <c r="P67" s="92"/>
      <c r="Q67" s="69"/>
      <c r="R67" s="69"/>
      <c r="S67" s="68"/>
      <c r="T67" s="68"/>
      <c r="U67" s="68"/>
      <c r="V67" s="68"/>
      <c r="W67" s="68"/>
      <c r="X67" s="63"/>
      <c r="Y67" s="63"/>
    </row>
    <row r="68" spans="2:25" x14ac:dyDescent="0.35">
      <c r="B68" s="71"/>
      <c r="C68" s="71"/>
      <c r="D68" s="71"/>
      <c r="E68" s="71"/>
      <c r="F68" s="71"/>
      <c r="G68" s="71"/>
      <c r="H68" s="69"/>
      <c r="I68" s="69"/>
      <c r="J68" s="69"/>
      <c r="K68" s="69"/>
      <c r="L68" s="69"/>
      <c r="M68" s="69"/>
      <c r="N68" s="71"/>
      <c r="O68" s="71"/>
      <c r="P68" s="71"/>
      <c r="Q68" s="69"/>
      <c r="R68" s="69"/>
      <c r="S68" s="71"/>
      <c r="T68" s="71"/>
      <c r="U68" s="71"/>
      <c r="V68" s="71"/>
      <c r="W68" s="71"/>
      <c r="X68" s="71"/>
      <c r="Y68" s="71"/>
    </row>
    <row r="69" spans="2:25" x14ac:dyDescent="0.35">
      <c r="B69" s="69"/>
      <c r="C69" s="83"/>
      <c r="D69" s="83"/>
      <c r="E69" s="83"/>
      <c r="F69" s="83"/>
      <c r="G69" s="83"/>
      <c r="H69" s="69"/>
      <c r="I69" s="69"/>
      <c r="J69" s="69"/>
      <c r="K69" s="69"/>
      <c r="L69" s="69"/>
      <c r="M69" s="69"/>
      <c r="N69" s="69"/>
      <c r="O69" s="83"/>
      <c r="P69" s="83"/>
      <c r="Q69" s="69"/>
      <c r="R69" s="69"/>
      <c r="S69" s="69"/>
      <c r="T69" s="69"/>
      <c r="U69" s="69"/>
      <c r="V69" s="69"/>
      <c r="W69" s="69"/>
      <c r="X69" s="83"/>
      <c r="Y69" s="83"/>
    </row>
    <row r="70" spans="2:25" x14ac:dyDescent="0.35">
      <c r="B70" s="68"/>
      <c r="C70" s="62"/>
      <c r="D70" s="62"/>
      <c r="E70" s="62"/>
      <c r="F70" s="62"/>
      <c r="G70" s="62"/>
      <c r="H70" s="69"/>
      <c r="I70" s="69"/>
      <c r="J70" s="69"/>
      <c r="K70" s="69"/>
      <c r="L70" s="69"/>
      <c r="M70" s="69"/>
      <c r="N70" s="68"/>
      <c r="O70" s="62"/>
      <c r="P70" s="62"/>
      <c r="Q70" s="69"/>
      <c r="R70" s="69"/>
      <c r="S70" s="68"/>
      <c r="T70" s="68"/>
      <c r="U70" s="68"/>
      <c r="V70" s="68"/>
      <c r="W70" s="68"/>
      <c r="X70" s="62"/>
      <c r="Y70" s="62"/>
    </row>
    <row r="71" spans="2:25" x14ac:dyDescent="0.35">
      <c r="B71" s="68"/>
      <c r="C71" s="63"/>
      <c r="D71" s="63"/>
      <c r="E71" s="63"/>
      <c r="F71" s="63"/>
      <c r="G71" s="63"/>
      <c r="H71" s="69"/>
      <c r="I71" s="69"/>
      <c r="J71" s="69"/>
      <c r="K71" s="69"/>
      <c r="L71" s="69"/>
      <c r="M71" s="69"/>
      <c r="N71" s="68"/>
      <c r="O71" s="63"/>
      <c r="P71" s="63"/>
      <c r="Q71" s="69"/>
      <c r="R71" s="69"/>
      <c r="S71" s="68"/>
      <c r="T71" s="68"/>
      <c r="U71" s="68"/>
      <c r="V71" s="68"/>
      <c r="W71" s="68"/>
      <c r="X71" s="63"/>
      <c r="Y71" s="63"/>
    </row>
  </sheetData>
  <mergeCells count="138">
    <mergeCell ref="O18:P18"/>
    <mergeCell ref="K31:L31"/>
    <mergeCell ref="K32:L32"/>
    <mergeCell ref="B37:C37"/>
    <mergeCell ref="B38:C38"/>
    <mergeCell ref="S6:X6"/>
    <mergeCell ref="U8:V8"/>
    <mergeCell ref="W8:X8"/>
    <mergeCell ref="W30:X30"/>
    <mergeCell ref="W52:X52"/>
    <mergeCell ref="O52:P52"/>
    <mergeCell ref="O30:P30"/>
    <mergeCell ref="O8:P8"/>
    <mergeCell ref="S50:X50"/>
    <mergeCell ref="S28:X28"/>
    <mergeCell ref="U16:V16"/>
    <mergeCell ref="W16:X16"/>
    <mergeCell ref="U31:V31"/>
    <mergeCell ref="W31:X31"/>
    <mergeCell ref="U32:V32"/>
    <mergeCell ref="W32:X32"/>
    <mergeCell ref="U30:V30"/>
    <mergeCell ref="U9:V9"/>
    <mergeCell ref="W9:X9"/>
    <mergeCell ref="U10:V10"/>
    <mergeCell ref="M32:N32"/>
    <mergeCell ref="O32:P32"/>
    <mergeCell ref="S8:T8"/>
    <mergeCell ref="S30:T30"/>
    <mergeCell ref="U54:V54"/>
    <mergeCell ref="W54:X54"/>
    <mergeCell ref="U59:V59"/>
    <mergeCell ref="W59:X59"/>
    <mergeCell ref="U60:V60"/>
    <mergeCell ref="W60:X60"/>
    <mergeCell ref="U37:V37"/>
    <mergeCell ref="W37:X37"/>
    <mergeCell ref="U38:V38"/>
    <mergeCell ref="W38:X38"/>
    <mergeCell ref="U53:V53"/>
    <mergeCell ref="W53:X53"/>
    <mergeCell ref="U52:V52"/>
    <mergeCell ref="S9:T9"/>
    <mergeCell ref="S10:T10"/>
    <mergeCell ref="S16:T16"/>
    <mergeCell ref="S31:T31"/>
    <mergeCell ref="W10:X10"/>
    <mergeCell ref="U15:V15"/>
    <mergeCell ref="W15:X15"/>
    <mergeCell ref="B50:G50"/>
    <mergeCell ref="B28:G28"/>
    <mergeCell ref="K62:L62"/>
    <mergeCell ref="S53:T53"/>
    <mergeCell ref="S54:T54"/>
    <mergeCell ref="S60:T60"/>
    <mergeCell ref="S32:T32"/>
    <mergeCell ref="S37:T37"/>
    <mergeCell ref="S59:T59"/>
    <mergeCell ref="K52:L52"/>
    <mergeCell ref="M40:N40"/>
    <mergeCell ref="O40:P40"/>
    <mergeCell ref="M53:N53"/>
    <mergeCell ref="O53:P53"/>
    <mergeCell ref="M54:N54"/>
    <mergeCell ref="O54:P54"/>
    <mergeCell ref="M62:N62"/>
    <mergeCell ref="O62:P62"/>
    <mergeCell ref="S38:T38"/>
    <mergeCell ref="K50:P50"/>
    <mergeCell ref="M52:N52"/>
    <mergeCell ref="K61:L61"/>
    <mergeCell ref="S52:T52"/>
    <mergeCell ref="K40:L40"/>
    <mergeCell ref="B53:C53"/>
    <mergeCell ref="B54:C54"/>
    <mergeCell ref="B59:C59"/>
    <mergeCell ref="B60:C60"/>
    <mergeCell ref="K53:L53"/>
    <mergeCell ref="K54:L54"/>
    <mergeCell ref="B52:C52"/>
    <mergeCell ref="D53:E53"/>
    <mergeCell ref="F53:G53"/>
    <mergeCell ref="D54:E54"/>
    <mergeCell ref="F54:G54"/>
    <mergeCell ref="D59:E59"/>
    <mergeCell ref="F59:G59"/>
    <mergeCell ref="D60:E60"/>
    <mergeCell ref="F60:G60"/>
    <mergeCell ref="D52:E52"/>
    <mergeCell ref="F52:G52"/>
    <mergeCell ref="O31:P31"/>
    <mergeCell ref="F32:G32"/>
    <mergeCell ref="M30:N30"/>
    <mergeCell ref="B1:H2"/>
    <mergeCell ref="B6:G6"/>
    <mergeCell ref="K9:L9"/>
    <mergeCell ref="K10:L10"/>
    <mergeCell ref="K17:L17"/>
    <mergeCell ref="K18:L18"/>
    <mergeCell ref="K6:P6"/>
    <mergeCell ref="D9:E9"/>
    <mergeCell ref="F9:G9"/>
    <mergeCell ref="D10:E10"/>
    <mergeCell ref="D16:E16"/>
    <mergeCell ref="F16:G16"/>
    <mergeCell ref="M9:N9"/>
    <mergeCell ref="O9:P9"/>
    <mergeCell ref="M10:N10"/>
    <mergeCell ref="O10:P10"/>
    <mergeCell ref="D8:E8"/>
    <mergeCell ref="M8:N8"/>
    <mergeCell ref="M18:N18"/>
    <mergeCell ref="M31:N31"/>
    <mergeCell ref="K28:P28"/>
    <mergeCell ref="K39:L39"/>
    <mergeCell ref="F8:G8"/>
    <mergeCell ref="F30:G30"/>
    <mergeCell ref="F10:G10"/>
    <mergeCell ref="D15:E15"/>
    <mergeCell ref="F15:G15"/>
    <mergeCell ref="B8:C8"/>
    <mergeCell ref="K8:L8"/>
    <mergeCell ref="D32:E32"/>
    <mergeCell ref="B9:C9"/>
    <mergeCell ref="B10:C10"/>
    <mergeCell ref="B15:C15"/>
    <mergeCell ref="B16:C16"/>
    <mergeCell ref="B31:C31"/>
    <mergeCell ref="B32:C32"/>
    <mergeCell ref="D37:E37"/>
    <mergeCell ref="F37:G37"/>
    <mergeCell ref="D38:E38"/>
    <mergeCell ref="F38:G38"/>
    <mergeCell ref="D30:E30"/>
    <mergeCell ref="B30:C30"/>
    <mergeCell ref="K30:L30"/>
    <mergeCell ref="D31:E31"/>
    <mergeCell ref="F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90" zoomScaleNormal="90" workbookViewId="0">
      <selection activeCell="J5" sqref="J5"/>
    </sheetView>
  </sheetViews>
  <sheetFormatPr defaultRowHeight="14.5" x14ac:dyDescent="0.35"/>
  <cols>
    <col min="1" max="1" width="22.54296875" bestFit="1" customWidth="1"/>
    <col min="2" max="2" width="34.54296875" bestFit="1" customWidth="1"/>
    <col min="9" max="9" width="34.54296875" bestFit="1" customWidth="1"/>
  </cols>
  <sheetData>
    <row r="1" spans="1:13" x14ac:dyDescent="0.35">
      <c r="A1" t="s">
        <v>154</v>
      </c>
    </row>
    <row r="3" spans="1:13" x14ac:dyDescent="0.35">
      <c r="B3" s="88" t="s">
        <v>12</v>
      </c>
      <c r="I3" s="88" t="s">
        <v>13</v>
      </c>
    </row>
    <row r="4" spans="1:13" x14ac:dyDescent="0.35">
      <c r="C4" t="s">
        <v>155</v>
      </c>
      <c r="D4" t="s">
        <v>156</v>
      </c>
      <c r="E4" t="s">
        <v>157</v>
      </c>
      <c r="F4" t="s">
        <v>116</v>
      </c>
      <c r="J4" t="s">
        <v>155</v>
      </c>
      <c r="K4" t="s">
        <v>156</v>
      </c>
      <c r="L4" t="s">
        <v>157</v>
      </c>
      <c r="M4" t="s">
        <v>116</v>
      </c>
    </row>
    <row r="5" spans="1:13" x14ac:dyDescent="0.35">
      <c r="B5" t="s">
        <v>174</v>
      </c>
      <c r="C5">
        <v>-0.70920000000000005</v>
      </c>
      <c r="D5">
        <v>4.1399999999999999E-2</v>
      </c>
      <c r="E5">
        <v>-17.149999999999999</v>
      </c>
      <c r="F5">
        <v>0</v>
      </c>
      <c r="I5" t="s">
        <v>174</v>
      </c>
      <c r="J5">
        <v>-0.43009999999999998</v>
      </c>
      <c r="K5">
        <v>3.9100000000000003E-2</v>
      </c>
      <c r="L5">
        <v>-10.99</v>
      </c>
      <c r="M5">
        <v>0</v>
      </c>
    </row>
    <row r="6" spans="1:13" x14ac:dyDescent="0.35">
      <c r="B6" t="s">
        <v>168</v>
      </c>
      <c r="C6">
        <v>0.19789999999999999</v>
      </c>
      <c r="D6">
        <v>6.5299999999999997E-2</v>
      </c>
      <c r="E6">
        <v>3.03</v>
      </c>
      <c r="F6">
        <v>0</v>
      </c>
      <c r="I6" t="s">
        <v>168</v>
      </c>
      <c r="J6">
        <v>0.14430000000000001</v>
      </c>
      <c r="K6">
        <v>6.3500000000000001E-2</v>
      </c>
      <c r="L6">
        <v>2.27</v>
      </c>
      <c r="M6">
        <v>0.02</v>
      </c>
    </row>
    <row r="7" spans="1:13" x14ac:dyDescent="0.35">
      <c r="B7" t="s">
        <v>169</v>
      </c>
      <c r="C7">
        <v>0.41349999999999998</v>
      </c>
      <c r="D7">
        <v>7.1999999999999995E-2</v>
      </c>
      <c r="E7">
        <v>5.74</v>
      </c>
      <c r="F7">
        <v>0</v>
      </c>
      <c r="I7" t="s">
        <v>169</v>
      </c>
      <c r="J7">
        <v>0.43869999999999998</v>
      </c>
      <c r="K7">
        <v>6.9800000000000001E-2</v>
      </c>
      <c r="L7">
        <v>6.28</v>
      </c>
      <c r="M7">
        <v>0</v>
      </c>
    </row>
    <row r="8" spans="1:13" x14ac:dyDescent="0.35">
      <c r="B8" t="s">
        <v>170</v>
      </c>
      <c r="C8">
        <v>0.55110000000000003</v>
      </c>
      <c r="D8">
        <v>7.4800000000000005E-2</v>
      </c>
      <c r="E8">
        <v>7.37</v>
      </c>
      <c r="F8">
        <v>0</v>
      </c>
      <c r="I8" t="s">
        <v>170</v>
      </c>
      <c r="J8">
        <v>0.55779999999999996</v>
      </c>
      <c r="K8">
        <v>7.3499999999999996E-2</v>
      </c>
      <c r="L8">
        <v>7.59</v>
      </c>
      <c r="M8">
        <v>0</v>
      </c>
    </row>
    <row r="9" spans="1:13" x14ac:dyDescent="0.35">
      <c r="B9" t="s">
        <v>171</v>
      </c>
      <c r="C9">
        <v>0.56159999999999999</v>
      </c>
      <c r="D9">
        <v>6.4699999999999994E-2</v>
      </c>
      <c r="E9">
        <v>8.68</v>
      </c>
      <c r="F9">
        <v>0</v>
      </c>
      <c r="I9" t="s">
        <v>171</v>
      </c>
      <c r="J9">
        <v>0.70330000000000004</v>
      </c>
      <c r="K9">
        <v>6.5500000000000003E-2</v>
      </c>
      <c r="L9">
        <v>10.74</v>
      </c>
      <c r="M9">
        <v>0</v>
      </c>
    </row>
    <row r="10" spans="1:13" x14ac:dyDescent="0.35">
      <c r="B10" t="s">
        <v>172</v>
      </c>
      <c r="C10">
        <v>0.36309999999999998</v>
      </c>
      <c r="D10">
        <v>5.8900000000000001E-2</v>
      </c>
      <c r="E10">
        <v>6.16</v>
      </c>
      <c r="F10">
        <v>0</v>
      </c>
      <c r="I10" t="s">
        <v>172</v>
      </c>
      <c r="J10">
        <v>0.30609999999999998</v>
      </c>
      <c r="K10">
        <v>5.8200000000000002E-2</v>
      </c>
      <c r="L10">
        <v>5.26</v>
      </c>
      <c r="M10">
        <v>0</v>
      </c>
    </row>
    <row r="11" spans="1:13" x14ac:dyDescent="0.35">
      <c r="B11" s="126" t="s">
        <v>175</v>
      </c>
      <c r="C11">
        <v>4.9299999999999997E-2</v>
      </c>
      <c r="D11">
        <v>2.3E-3</v>
      </c>
      <c r="E11">
        <v>21.71</v>
      </c>
      <c r="F11">
        <v>0</v>
      </c>
      <c r="I11" s="126" t="s">
        <v>175</v>
      </c>
      <c r="J11">
        <v>3.9600000000000003E-2</v>
      </c>
      <c r="K11">
        <v>2.0999999999999999E-3</v>
      </c>
      <c r="L11">
        <v>18.440000000000001</v>
      </c>
      <c r="M11">
        <v>0</v>
      </c>
    </row>
    <row r="13" spans="1:13" x14ac:dyDescent="0.35">
      <c r="B13" s="104" t="s">
        <v>158</v>
      </c>
      <c r="I13" s="104" t="s">
        <v>159</v>
      </c>
    </row>
    <row r="14" spans="1:13" x14ac:dyDescent="0.35">
      <c r="B14" s="104" t="s">
        <v>160</v>
      </c>
      <c r="I14" s="104" t="s">
        <v>161</v>
      </c>
    </row>
    <row r="15" spans="1:13" x14ac:dyDescent="0.35">
      <c r="B15" s="104" t="s">
        <v>162</v>
      </c>
      <c r="I15" s="104" t="s">
        <v>163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5"/>
  <sheetViews>
    <sheetView zoomScaleNormal="100" workbookViewId="0">
      <selection activeCell="K22" sqref="K22"/>
    </sheetView>
  </sheetViews>
  <sheetFormatPr defaultRowHeight="14.5" x14ac:dyDescent="0.35"/>
  <cols>
    <col min="1" max="1" width="47.26953125" customWidth="1"/>
    <col min="2" max="2" width="29" customWidth="1"/>
    <col min="3" max="3" width="26.81640625" customWidth="1"/>
    <col min="4" max="4" width="27.1796875" customWidth="1"/>
    <col min="5" max="5" width="26.81640625" customWidth="1"/>
    <col min="6" max="6" width="26.1796875" customWidth="1"/>
    <col min="7" max="7" width="25.1796875" customWidth="1"/>
    <col min="8" max="8" width="27.453125" customWidth="1"/>
    <col min="9" max="9" width="23.81640625" customWidth="1"/>
    <col min="10" max="10" width="27" customWidth="1"/>
    <col min="11" max="11" width="24.453125" customWidth="1"/>
    <col min="12" max="12" width="27.54296875" customWidth="1"/>
    <col min="13" max="13" width="24.81640625" customWidth="1"/>
    <col min="33" max="33" width="34.54296875" bestFit="1" customWidth="1"/>
    <col min="34" max="34" width="15.26953125" bestFit="1" customWidth="1"/>
    <col min="35" max="36" width="18" bestFit="1" customWidth="1"/>
    <col min="41" max="41" width="33.7265625" bestFit="1" customWidth="1"/>
    <col min="42" max="42" width="15.26953125" bestFit="1" customWidth="1"/>
    <col min="44" max="44" width="17.453125" bestFit="1" customWidth="1"/>
  </cols>
  <sheetData>
    <row r="2" spans="1:13" ht="15" thickBot="1" x14ac:dyDescent="0.4">
      <c r="A2" s="13" t="s">
        <v>14</v>
      </c>
      <c r="B2" s="132" t="s">
        <v>16</v>
      </c>
      <c r="C2" s="132"/>
      <c r="D2" s="132"/>
      <c r="E2" s="132"/>
      <c r="F2" s="132" t="s">
        <v>17</v>
      </c>
      <c r="G2" s="132"/>
      <c r="H2" s="132"/>
      <c r="I2" s="132"/>
      <c r="J2" s="132" t="s">
        <v>18</v>
      </c>
      <c r="K2" s="132"/>
      <c r="L2" s="132"/>
      <c r="M2" s="132"/>
    </row>
    <row r="3" spans="1:13" x14ac:dyDescent="0.35">
      <c r="B3" s="133" t="s">
        <v>12</v>
      </c>
      <c r="C3" s="133"/>
      <c r="D3" s="134" t="s">
        <v>13</v>
      </c>
      <c r="E3" s="134"/>
      <c r="F3" s="133" t="s">
        <v>12</v>
      </c>
      <c r="G3" s="133"/>
      <c r="H3" s="134" t="s">
        <v>13</v>
      </c>
      <c r="I3" s="134"/>
      <c r="J3" s="133" t="s">
        <v>12</v>
      </c>
      <c r="K3" s="133"/>
      <c r="L3" s="134" t="s">
        <v>13</v>
      </c>
      <c r="M3" s="134"/>
    </row>
    <row r="4" spans="1:13" x14ac:dyDescent="0.35">
      <c r="B4" s="135" t="s">
        <v>9</v>
      </c>
      <c r="C4" s="135"/>
      <c r="D4" s="135" t="s">
        <v>9</v>
      </c>
      <c r="E4" s="135"/>
      <c r="F4" s="135" t="s">
        <v>9</v>
      </c>
      <c r="G4" s="135"/>
      <c r="H4" s="135" t="s">
        <v>9</v>
      </c>
      <c r="I4" s="135"/>
      <c r="J4" s="135" t="s">
        <v>9</v>
      </c>
      <c r="K4" s="135"/>
      <c r="L4" s="135" t="s">
        <v>9</v>
      </c>
      <c r="M4" s="135"/>
    </row>
    <row r="5" spans="1:13" x14ac:dyDescent="0.35">
      <c r="B5" s="4" t="s">
        <v>11</v>
      </c>
      <c r="C5" s="4" t="s">
        <v>10</v>
      </c>
      <c r="D5" s="4" t="s">
        <v>11</v>
      </c>
      <c r="E5" s="4" t="s">
        <v>10</v>
      </c>
      <c r="F5" s="4" t="s">
        <v>85</v>
      </c>
      <c r="G5" s="4" t="s">
        <v>82</v>
      </c>
      <c r="H5" s="4" t="s">
        <v>85</v>
      </c>
      <c r="I5" s="4" t="s">
        <v>82</v>
      </c>
      <c r="J5" s="4" t="s">
        <v>85</v>
      </c>
      <c r="K5" s="4" t="s">
        <v>83</v>
      </c>
      <c r="L5" s="4" t="s">
        <v>85</v>
      </c>
      <c r="M5" s="4" t="s">
        <v>83</v>
      </c>
    </row>
    <row r="6" spans="1:13" x14ac:dyDescent="0.35">
      <c r="A6" t="s">
        <v>167</v>
      </c>
      <c r="B6">
        <v>-0.30426470122952637</v>
      </c>
      <c r="C6" s="5">
        <f>B6*1000</f>
        <v>-304.26470122952639</v>
      </c>
      <c r="D6">
        <v>-0.31633926278855201</v>
      </c>
      <c r="E6" s="5">
        <f>D6*1000</f>
        <v>-316.33926278855199</v>
      </c>
      <c r="F6">
        <v>1.90254885759054E-2</v>
      </c>
      <c r="G6" s="5">
        <f>($B$6-(1.96*F6))*1000</f>
        <v>-341.55465883830095</v>
      </c>
      <c r="H6">
        <v>1.76489588458482E-2</v>
      </c>
      <c r="I6" s="5">
        <f>($D$6-(1.96*H6))*1000</f>
        <v>-350.93122212641447</v>
      </c>
      <c r="J6">
        <v>1.9025488575905442E-2</v>
      </c>
      <c r="K6" s="5">
        <f>($B$6+(1.96*J6))*1000</f>
        <v>-266.97474362075167</v>
      </c>
      <c r="L6">
        <v>1.76489588458482E-2</v>
      </c>
      <c r="M6" s="5">
        <f>($D$6+(1.96*L6))*1000</f>
        <v>-281.74730345068957</v>
      </c>
    </row>
    <row r="7" spans="1:13" x14ac:dyDescent="0.35">
      <c r="A7" s="3" t="s">
        <v>176</v>
      </c>
      <c r="B7">
        <v>0.46056301433956781</v>
      </c>
      <c r="C7" s="5">
        <f>B7*100</f>
        <v>46.056301433956783</v>
      </c>
      <c r="D7">
        <v>0.51088177042750016</v>
      </c>
      <c r="E7" s="5">
        <f>D7*100</f>
        <v>51.088177042750019</v>
      </c>
      <c r="F7">
        <v>4.5292409964896509E-2</v>
      </c>
      <c r="G7" s="5">
        <f>($B$7-(1.96*F7))*100</f>
        <v>37.178989080837063</v>
      </c>
      <c r="H7">
        <v>5.2190211285842877E-2</v>
      </c>
      <c r="I7" s="5">
        <f>($D$7-(1.96*H7))*100</f>
        <v>40.85889563072481</v>
      </c>
      <c r="J7">
        <v>4.5292409964896509E-2</v>
      </c>
      <c r="K7" s="5">
        <f>($B$7+(1.96*J7))*100</f>
        <v>54.933613787076496</v>
      </c>
      <c r="L7">
        <v>5.2190211285842877E-2</v>
      </c>
      <c r="M7" s="5">
        <f>($D$7+(1.96*L7))*100</f>
        <v>61.31745845477522</v>
      </c>
    </row>
    <row r="8" spans="1:13" x14ac:dyDescent="0.35">
      <c r="A8" s="3" t="s">
        <v>177</v>
      </c>
      <c r="B8">
        <v>0.82594492227128913</v>
      </c>
      <c r="C8" s="5">
        <f t="shared" ref="C8:C11" si="0">B8*100</f>
        <v>82.59449222712891</v>
      </c>
      <c r="D8">
        <v>0.97161851558896029</v>
      </c>
      <c r="E8" s="5">
        <f>D8*100</f>
        <v>97.161851558896032</v>
      </c>
      <c r="F8">
        <v>6.6830882423758023E-2</v>
      </c>
      <c r="G8" s="5">
        <f>($B$8-(1.96*F8))*100</f>
        <v>69.495639272072339</v>
      </c>
      <c r="H8">
        <v>9.8030797662939026E-2</v>
      </c>
      <c r="I8" s="5">
        <f>($D$8-(1.96*H8))*100</f>
        <v>77.947815216959981</v>
      </c>
      <c r="J8">
        <v>6.6830882423758023E-2</v>
      </c>
      <c r="K8" s="5">
        <f>($B$8+(1.96*J8))*100</f>
        <v>95.693345182185482</v>
      </c>
      <c r="L8">
        <v>9.8030797662939026E-2</v>
      </c>
      <c r="M8" s="5">
        <f>($D$8+(1.96*L8))*100</f>
        <v>116.37588790083208</v>
      </c>
    </row>
    <row r="9" spans="1:13" x14ac:dyDescent="0.35">
      <c r="A9" s="3" t="s">
        <v>178</v>
      </c>
      <c r="B9">
        <v>0.80044565076420227</v>
      </c>
      <c r="C9" s="5">
        <f t="shared" si="0"/>
        <v>80.044565076420227</v>
      </c>
      <c r="D9">
        <v>1.0341211647076449</v>
      </c>
      <c r="E9" s="5">
        <f>D9*100</f>
        <v>103.41211647076449</v>
      </c>
      <c r="F9">
        <v>6.6575878599975172E-2</v>
      </c>
      <c r="G9" s="5">
        <f>($B$9-(1.96*F9))*100</f>
        <v>66.995692870825096</v>
      </c>
      <c r="H9">
        <v>8.7934390792410597E-2</v>
      </c>
      <c r="I9" s="5">
        <f>($D$9-(1.96*H9))*100</f>
        <v>86.176975875452015</v>
      </c>
      <c r="J9">
        <v>6.6575878599975172E-2</v>
      </c>
      <c r="K9" s="5">
        <f>($B$9+(1.96*J9))*100</f>
        <v>93.093437282015358</v>
      </c>
      <c r="L9">
        <v>8.7934390792410597E-2</v>
      </c>
      <c r="M9" s="5">
        <f>($D$9+(1.96*L9))*100</f>
        <v>120.64725706607697</v>
      </c>
    </row>
    <row r="10" spans="1:13" x14ac:dyDescent="0.35">
      <c r="A10" s="3" t="s">
        <v>171</v>
      </c>
      <c r="B10">
        <v>0.88401273137161729</v>
      </c>
      <c r="C10" s="5">
        <f>B10*100</f>
        <v>88.401273137161724</v>
      </c>
      <c r="D10">
        <v>1.1455638961905479</v>
      </c>
      <c r="E10" s="5">
        <f>D10*100</f>
        <v>114.55638961905478</v>
      </c>
      <c r="F10">
        <v>6.2624170603714099E-2</v>
      </c>
      <c r="G10" s="5">
        <f>($B$10-(1.96*F10))*100</f>
        <v>76.126935698833762</v>
      </c>
      <c r="H10">
        <v>8.6608363620791079E-2</v>
      </c>
      <c r="I10" s="5">
        <f>($D$10-(1.96*H10))*100</f>
        <v>97.581150349379726</v>
      </c>
      <c r="J10">
        <v>6.2624170603714099E-2</v>
      </c>
      <c r="K10" s="5">
        <f>($B$10+(1.96*J10))*100</f>
        <v>100.67561057548969</v>
      </c>
      <c r="L10">
        <v>8.6608363620791079E-2</v>
      </c>
      <c r="M10" s="5">
        <f>($D$10+(1.96*L10))*100</f>
        <v>131.53162888872984</v>
      </c>
    </row>
    <row r="11" spans="1:13" ht="15" thickBot="1" x14ac:dyDescent="0.4">
      <c r="A11" s="6" t="s">
        <v>179</v>
      </c>
      <c r="B11" s="7">
        <v>0.58157772980394085</v>
      </c>
      <c r="C11" s="8">
        <f t="shared" si="0"/>
        <v>58.157772980394085</v>
      </c>
      <c r="D11" s="7">
        <v>0.56372659169200379</v>
      </c>
      <c r="E11" s="8">
        <f>D11*100</f>
        <v>56.372659169200375</v>
      </c>
      <c r="F11" s="7">
        <v>5.2227747384471959E-2</v>
      </c>
      <c r="G11" s="8">
        <f>($B$11-(1.96*F11))*100</f>
        <v>47.921134493037584</v>
      </c>
      <c r="H11" s="7">
        <v>5.1021498196626693E-2</v>
      </c>
      <c r="I11" s="8">
        <f>($D$11-(1.96*H11))*100</f>
        <v>46.37244552266155</v>
      </c>
      <c r="J11" s="7">
        <v>5.2227747384471959E-2</v>
      </c>
      <c r="K11" s="8">
        <f>($B$11+(1.96*J11))*100</f>
        <v>68.394411467750587</v>
      </c>
      <c r="L11" s="7">
        <v>5.1021498196626693E-2</v>
      </c>
      <c r="M11" s="8">
        <f>($D$11+(1.96*L11))*100</f>
        <v>66.372872815739214</v>
      </c>
    </row>
    <row r="13" spans="1:13" ht="15" thickBot="1" x14ac:dyDescent="0.4">
      <c r="A13" s="14" t="s">
        <v>24</v>
      </c>
    </row>
    <row r="14" spans="1:13" ht="15" thickBot="1" x14ac:dyDescent="0.4">
      <c r="A14" s="26"/>
      <c r="B14" s="136" t="s">
        <v>12</v>
      </c>
      <c r="C14" s="137"/>
      <c r="D14" s="138"/>
      <c r="E14" s="139" t="s">
        <v>13</v>
      </c>
      <c r="F14" s="140"/>
      <c r="G14" s="141"/>
      <c r="I14" s="32" t="s">
        <v>30</v>
      </c>
    </row>
    <row r="15" spans="1:13" ht="51.65" customHeight="1" thickBot="1" x14ac:dyDescent="0.4">
      <c r="A15" s="27"/>
      <c r="B15" s="48" t="s">
        <v>108</v>
      </c>
      <c r="C15" s="48" t="s">
        <v>180</v>
      </c>
      <c r="D15" s="48" t="s">
        <v>181</v>
      </c>
      <c r="E15" s="48" t="s">
        <v>108</v>
      </c>
      <c r="F15" s="48" t="s">
        <v>180</v>
      </c>
      <c r="G15" s="48" t="s">
        <v>181</v>
      </c>
      <c r="I15" t="s">
        <v>15</v>
      </c>
      <c r="J15" s="16">
        <v>7877000</v>
      </c>
      <c r="K15" t="s">
        <v>22</v>
      </c>
    </row>
    <row r="16" spans="1:13" x14ac:dyDescent="0.35">
      <c r="A16" s="27" t="s">
        <v>165</v>
      </c>
      <c r="B16" s="5">
        <f>C7</f>
        <v>46.056301433956783</v>
      </c>
      <c r="C16" s="5">
        <f>C8</f>
        <v>82.59449222712891</v>
      </c>
      <c r="D16" s="5">
        <f>C9</f>
        <v>80.044565076420227</v>
      </c>
      <c r="E16" s="5">
        <f>E7</f>
        <v>51.088177042750019</v>
      </c>
      <c r="F16" s="5">
        <f>E8</f>
        <v>97.161851558896032</v>
      </c>
      <c r="G16" s="5">
        <f>E9</f>
        <v>103.41211647076449</v>
      </c>
      <c r="I16" t="s">
        <v>19</v>
      </c>
      <c r="J16" s="16">
        <v>1575400</v>
      </c>
      <c r="K16" t="s">
        <v>22</v>
      </c>
    </row>
    <row r="17" spans="1:31" x14ac:dyDescent="0.35">
      <c r="A17" s="30" t="s">
        <v>26</v>
      </c>
      <c r="B17" s="34">
        <f>$J$16*0.1</f>
        <v>157540</v>
      </c>
      <c r="C17" s="34">
        <f>$J$16*0.2</f>
        <v>315080</v>
      </c>
      <c r="D17" s="34">
        <f>$J$16*0.3</f>
        <v>472620</v>
      </c>
      <c r="E17" s="34">
        <f>$J$16*0.1</f>
        <v>157540</v>
      </c>
      <c r="F17" s="34">
        <f>$J$16*0.2</f>
        <v>315080</v>
      </c>
      <c r="G17" s="34">
        <f>$J$16*0.3</f>
        <v>472620</v>
      </c>
      <c r="I17" s="17" t="s">
        <v>182</v>
      </c>
    </row>
    <row r="18" spans="1:31" x14ac:dyDescent="0.35">
      <c r="A18" s="27" t="s">
        <v>27</v>
      </c>
      <c r="B18" s="33">
        <f t="shared" ref="B18:G18" si="1">B16/B17</f>
        <v>2.9234671470075401E-4</v>
      </c>
      <c r="C18" s="33">
        <f t="shared" si="1"/>
        <v>2.6213816245756289E-4</v>
      </c>
      <c r="D18" s="33">
        <f t="shared" si="1"/>
        <v>1.6936347398844787E-4</v>
      </c>
      <c r="E18" s="33">
        <f t="shared" si="1"/>
        <v>3.2428701944109444E-4</v>
      </c>
      <c r="F18" s="33">
        <f t="shared" si="1"/>
        <v>3.0837200570933107E-4</v>
      </c>
      <c r="G18" s="33">
        <f t="shared" si="1"/>
        <v>2.1880605236927021E-4</v>
      </c>
      <c r="I18" t="s">
        <v>20</v>
      </c>
      <c r="J18" s="18">
        <f>J16*0.01*0.4</f>
        <v>6301.6</v>
      </c>
      <c r="K18" t="s">
        <v>22</v>
      </c>
    </row>
    <row r="19" spans="1:31" x14ac:dyDescent="0.35">
      <c r="A19" s="27" t="s">
        <v>28</v>
      </c>
      <c r="B19" s="95">
        <f t="shared" ref="B19:G19" si="2">B18*$J$20</f>
        <v>693.67356066751097</v>
      </c>
      <c r="C19" s="95">
        <f t="shared" si="2"/>
        <v>621.99540270156876</v>
      </c>
      <c r="D19" s="95">
        <f t="shared" si="2"/>
        <v>401.86175571988736</v>
      </c>
      <c r="E19" s="95">
        <f t="shared" si="2"/>
        <v>769.46078112838177</v>
      </c>
      <c r="F19" s="95">
        <f t="shared" si="2"/>
        <v>731.69800259096951</v>
      </c>
      <c r="G19" s="95">
        <f t="shared" si="2"/>
        <v>519.17796852259983</v>
      </c>
      <c r="I19" t="s">
        <v>21</v>
      </c>
      <c r="J19" s="19">
        <f>1/J18</f>
        <v>1.5868985654436966E-4</v>
      </c>
      <c r="K19" t="s">
        <v>23</v>
      </c>
    </row>
    <row r="20" spans="1:31" x14ac:dyDescent="0.35">
      <c r="A20" s="27"/>
      <c r="F20" s="1"/>
      <c r="I20" t="s">
        <v>7</v>
      </c>
      <c r="J20" s="16">
        <v>2372777</v>
      </c>
      <c r="K20" s="16">
        <v>4252806</v>
      </c>
    </row>
    <row r="21" spans="1:31" x14ac:dyDescent="0.35">
      <c r="B21" s="97"/>
      <c r="C21" s="98"/>
      <c r="D21" s="63"/>
      <c r="E21" s="97"/>
      <c r="F21" s="98"/>
      <c r="I21" s="20"/>
      <c r="J21" s="31" t="s">
        <v>6</v>
      </c>
      <c r="K21" s="31" t="s">
        <v>29</v>
      </c>
    </row>
    <row r="22" spans="1:31" x14ac:dyDescent="0.35">
      <c r="D22" s="99"/>
      <c r="I22" s="100"/>
      <c r="J22" s="21"/>
    </row>
    <row r="23" spans="1:31" ht="15" thickBot="1" x14ac:dyDescent="0.4">
      <c r="A23" s="29"/>
      <c r="B23" s="81" t="s">
        <v>43</v>
      </c>
      <c r="C23" s="84" t="s">
        <v>44</v>
      </c>
      <c r="D23" s="26"/>
      <c r="Y23" s="103"/>
      <c r="Z23" s="104"/>
      <c r="AA23" s="104"/>
      <c r="AB23" s="104"/>
      <c r="AC23" s="104"/>
      <c r="AD23" s="104"/>
      <c r="AE23" s="104"/>
    </row>
    <row r="24" spans="1:31" x14ac:dyDescent="0.35">
      <c r="A24" s="28" t="s">
        <v>31</v>
      </c>
      <c r="B24" s="35">
        <f>C10*$J$20</f>
        <v>209756507.67057517</v>
      </c>
      <c r="C24" s="35">
        <f>E10*$J$20</f>
        <v>271816766.49113196</v>
      </c>
      <c r="D24" s="26"/>
      <c r="I24" s="101"/>
      <c r="Y24" s="104"/>
      <c r="Z24" s="104"/>
      <c r="AA24" s="104"/>
      <c r="AB24" s="104"/>
      <c r="AC24" s="104"/>
      <c r="AD24" s="104"/>
      <c r="AE24" s="104"/>
    </row>
    <row r="25" spans="1:31" x14ac:dyDescent="0.35">
      <c r="A25" s="28" t="s">
        <v>32</v>
      </c>
      <c r="B25" s="35">
        <f>C11*$J$20</f>
        <v>137995426.09910053</v>
      </c>
      <c r="C25" s="35">
        <f>E11*$J$20</f>
        <v>133759749.10551776</v>
      </c>
      <c r="D25" s="9"/>
      <c r="E25" s="5"/>
      <c r="F25" s="5"/>
      <c r="G25" s="11"/>
      <c r="H25" s="10"/>
      <c r="I25" s="22"/>
      <c r="J25" s="11"/>
      <c r="K25" s="11"/>
      <c r="L25" s="11"/>
      <c r="M25" s="11"/>
    </row>
    <row r="26" spans="1:31" ht="15" thickBot="1" x14ac:dyDescent="0.4">
      <c r="A26" s="15" t="s">
        <v>33</v>
      </c>
      <c r="B26" s="73" t="s">
        <v>55</v>
      </c>
      <c r="C26" s="73" t="s">
        <v>55</v>
      </c>
      <c r="D26" s="9"/>
      <c r="H26" s="24"/>
      <c r="J26" s="11"/>
    </row>
    <row r="27" spans="1:31" x14ac:dyDescent="0.35">
      <c r="A27" s="12"/>
      <c r="B27" s="12"/>
      <c r="C27" s="9"/>
      <c r="D27" s="9"/>
      <c r="G27" s="5"/>
      <c r="H27" s="23"/>
      <c r="Y27" s="103"/>
      <c r="Z27" s="104"/>
      <c r="AA27" s="104"/>
      <c r="AB27" s="104"/>
      <c r="AC27" s="104"/>
      <c r="AD27" s="104"/>
      <c r="AE27" s="104"/>
    </row>
    <row r="28" spans="1:31" x14ac:dyDescent="0.35">
      <c r="A28" s="12"/>
      <c r="B28" s="12"/>
      <c r="C28" s="9"/>
      <c r="D28" s="9"/>
      <c r="H28" s="5"/>
      <c r="Y28" s="104"/>
      <c r="Z28" s="104"/>
      <c r="AA28" s="104"/>
      <c r="AB28" s="104"/>
      <c r="AC28" s="104"/>
      <c r="AD28" s="104"/>
      <c r="AE28" s="104"/>
    </row>
    <row r="29" spans="1:31" ht="15" thickBot="1" x14ac:dyDescent="0.4">
      <c r="A29" s="14" t="s">
        <v>84</v>
      </c>
      <c r="Y29" s="104"/>
      <c r="Z29" s="104"/>
      <c r="AA29" s="104"/>
      <c r="AB29" s="104"/>
      <c r="AC29" s="104"/>
      <c r="AD29" s="104"/>
      <c r="AE29" s="104"/>
    </row>
    <row r="30" spans="1:31" ht="15" thickBot="1" x14ac:dyDescent="0.4">
      <c r="A30" s="26"/>
      <c r="B30" s="136" t="s">
        <v>12</v>
      </c>
      <c r="C30" s="137"/>
      <c r="D30" s="138"/>
      <c r="E30" s="139" t="s">
        <v>13</v>
      </c>
      <c r="F30" s="140"/>
      <c r="G30" s="141"/>
      <c r="H30" s="11"/>
      <c r="I30" s="11"/>
      <c r="Y30" s="104"/>
      <c r="Z30" s="104"/>
      <c r="AA30" s="104"/>
      <c r="AB30" s="104"/>
      <c r="AC30" s="104"/>
      <c r="AD30" s="104"/>
      <c r="AE30" s="104"/>
    </row>
    <row r="31" spans="1:31" ht="44" thickBot="1" x14ac:dyDescent="0.4">
      <c r="A31" s="27"/>
      <c r="B31" s="48" t="s">
        <v>108</v>
      </c>
      <c r="C31" s="48" t="s">
        <v>180</v>
      </c>
      <c r="D31" s="48" t="s">
        <v>181</v>
      </c>
      <c r="E31" s="48" t="s">
        <v>108</v>
      </c>
      <c r="F31" s="48" t="s">
        <v>180</v>
      </c>
      <c r="G31" s="48" t="s">
        <v>181</v>
      </c>
      <c r="Y31" s="104"/>
      <c r="Z31" s="104"/>
      <c r="AA31" s="104"/>
      <c r="AB31" s="104"/>
      <c r="AC31" s="104"/>
      <c r="AD31" s="104"/>
      <c r="AE31" s="104"/>
    </row>
    <row r="32" spans="1:31" x14ac:dyDescent="0.35">
      <c r="A32" s="27" t="s">
        <v>25</v>
      </c>
      <c r="B32" s="5">
        <f>G7</f>
        <v>37.178989080837063</v>
      </c>
      <c r="C32" s="5">
        <f>G8</f>
        <v>69.495639272072339</v>
      </c>
      <c r="D32" s="5">
        <f>G9</f>
        <v>66.995692870825096</v>
      </c>
      <c r="E32" s="5">
        <f>I7</f>
        <v>40.85889563072481</v>
      </c>
      <c r="F32" s="5">
        <f>I8</f>
        <v>77.947815216959981</v>
      </c>
      <c r="G32" s="5">
        <f>I9</f>
        <v>86.176975875452015</v>
      </c>
      <c r="Y32" s="104"/>
      <c r="Z32" s="104"/>
      <c r="AA32" s="104"/>
      <c r="AB32" s="104"/>
      <c r="AC32" s="104"/>
      <c r="AD32" s="104"/>
      <c r="AE32" s="104"/>
    </row>
    <row r="33" spans="1:31" x14ac:dyDescent="0.35">
      <c r="A33" s="30" t="s">
        <v>26</v>
      </c>
      <c r="B33" s="34">
        <f>$J$16*0.1</f>
        <v>157540</v>
      </c>
      <c r="C33" s="34">
        <f>$J$16*0.2</f>
        <v>315080</v>
      </c>
      <c r="D33" s="34">
        <f>$J$16*0.3</f>
        <v>472620</v>
      </c>
      <c r="E33" s="34">
        <f>$J$16*0.1</f>
        <v>157540</v>
      </c>
      <c r="F33" s="34">
        <f>$J$16*0.2</f>
        <v>315080</v>
      </c>
      <c r="G33" s="34">
        <f>$J$16*0.3</f>
        <v>472620</v>
      </c>
      <c r="Y33" s="104"/>
      <c r="Z33" s="104"/>
      <c r="AA33" s="104"/>
      <c r="AB33" s="104"/>
      <c r="AC33" s="104"/>
      <c r="AD33" s="104"/>
      <c r="AE33" s="104"/>
    </row>
    <row r="34" spans="1:31" x14ac:dyDescent="0.35">
      <c r="A34" s="27" t="s">
        <v>27</v>
      </c>
      <c r="B34" s="33">
        <f t="shared" ref="B34:G34" si="3">B32/B33</f>
        <v>2.3599713774810881E-4</v>
      </c>
      <c r="C34" s="33">
        <f t="shared" si="3"/>
        <v>2.2056506053088847E-4</v>
      </c>
      <c r="D34" s="33">
        <f t="shared" si="3"/>
        <v>1.4175382521015848E-4</v>
      </c>
      <c r="E34" s="33">
        <f t="shared" si="3"/>
        <v>2.5935569144804375E-4</v>
      </c>
      <c r="F34" s="33">
        <f t="shared" si="3"/>
        <v>2.4739055229452831E-4</v>
      </c>
      <c r="G34" s="33">
        <f t="shared" si="3"/>
        <v>1.8233882585470782E-4</v>
      </c>
      <c r="H34" s="5"/>
      <c r="Y34" s="104"/>
      <c r="Z34" s="104"/>
      <c r="AA34" s="104"/>
      <c r="AB34" s="104"/>
      <c r="AC34" s="104"/>
      <c r="AD34" s="104"/>
      <c r="AE34" s="104"/>
    </row>
    <row r="35" spans="1:31" x14ac:dyDescent="0.35">
      <c r="A35" s="27" t="s">
        <v>28</v>
      </c>
      <c r="B35" s="95">
        <f t="shared" ref="B35:G35" si="4">B34*$J$20</f>
        <v>559.96858051454444</v>
      </c>
      <c r="C35" s="95">
        <f t="shared" si="4"/>
        <v>523.35170263129999</v>
      </c>
      <c r="D35" s="95">
        <f t="shared" si="4"/>
        <v>336.35021612068419</v>
      </c>
      <c r="E35" s="95">
        <f t="shared" si="4"/>
        <v>615.3932194870149</v>
      </c>
      <c r="F35" s="95">
        <f t="shared" si="4"/>
        <v>587.00261250175402</v>
      </c>
      <c r="G35" s="95">
        <f t="shared" si="4"/>
        <v>432.64937219505606</v>
      </c>
      <c r="H35" s="25"/>
      <c r="Y35" s="104"/>
      <c r="Z35" s="104"/>
      <c r="AA35" s="104"/>
      <c r="AB35" s="104"/>
      <c r="AC35" s="104"/>
      <c r="AD35" s="104"/>
      <c r="AE35" s="104"/>
    </row>
    <row r="36" spans="1:31" x14ac:dyDescent="0.35">
      <c r="A36" s="27"/>
      <c r="F36" s="1"/>
      <c r="H36" s="5"/>
      <c r="Y36" s="104"/>
      <c r="Z36" s="104"/>
      <c r="AA36" s="104"/>
      <c r="AB36" s="104"/>
      <c r="AC36" s="104"/>
      <c r="AD36" s="104"/>
      <c r="AE36" s="104"/>
    </row>
    <row r="37" spans="1:31" ht="15" thickBot="1" x14ac:dyDescent="0.4">
      <c r="A37" s="29"/>
      <c r="B37" s="81" t="s">
        <v>43</v>
      </c>
      <c r="C37" s="84" t="s">
        <v>44</v>
      </c>
      <c r="D37" s="26"/>
      <c r="Y37" s="104"/>
      <c r="Z37" s="104"/>
      <c r="AA37" s="104"/>
      <c r="AB37" s="104"/>
      <c r="AC37" s="104"/>
      <c r="AD37" s="104"/>
      <c r="AE37" s="104"/>
    </row>
    <row r="38" spans="1:31" x14ac:dyDescent="0.35">
      <c r="A38" s="28" t="s">
        <v>31</v>
      </c>
      <c r="B38" s="35">
        <f>G10*$J$20</f>
        <v>180632242.10667169</v>
      </c>
      <c r="C38" s="35">
        <f>I10*$J$20</f>
        <v>231538309.18255019</v>
      </c>
      <c r="D38" s="26"/>
      <c r="Y38" s="104"/>
      <c r="Z38" s="104"/>
      <c r="AA38" s="104"/>
      <c r="AB38" s="104"/>
      <c r="AC38" s="104"/>
      <c r="AD38" s="104"/>
      <c r="AE38" s="104"/>
    </row>
    <row r="39" spans="1:31" x14ac:dyDescent="0.35">
      <c r="A39" s="28" t="s">
        <v>32</v>
      </c>
      <c r="B39" s="35">
        <f>G11*$J$20</f>
        <v>113706165.73898624</v>
      </c>
      <c r="C39" s="35">
        <f>I11*$J$20</f>
        <v>110031472.1699243</v>
      </c>
      <c r="D39" s="9"/>
      <c r="E39" s="5"/>
      <c r="F39" s="5"/>
      <c r="G39" s="11"/>
      <c r="H39" s="5"/>
      <c r="Y39" s="104"/>
      <c r="Z39" s="104"/>
      <c r="AA39" s="104"/>
      <c r="AB39" s="104"/>
      <c r="AC39" s="104"/>
      <c r="AD39" s="104"/>
      <c r="AE39" s="104"/>
    </row>
    <row r="40" spans="1:31" ht="15" thickBot="1" x14ac:dyDescent="0.4">
      <c r="A40" s="75" t="s">
        <v>33</v>
      </c>
      <c r="B40" s="73" t="s">
        <v>55</v>
      </c>
      <c r="C40" s="73" t="s">
        <v>55</v>
      </c>
      <c r="D40" s="9"/>
      <c r="S40" s="102"/>
      <c r="Y40" s="104"/>
      <c r="Z40" s="104"/>
      <c r="AA40" s="104"/>
      <c r="AB40" s="104"/>
      <c r="AC40" s="104"/>
      <c r="AD40" s="104"/>
      <c r="AE40" s="104"/>
    </row>
    <row r="41" spans="1:31" ht="14.5" hidden="1" customHeight="1" x14ac:dyDescent="0.35">
      <c r="A41" t="s">
        <v>8</v>
      </c>
      <c r="S41" s="102"/>
      <c r="Y41" s="104"/>
      <c r="Z41" s="104"/>
      <c r="AA41" s="104"/>
      <c r="AB41" s="104"/>
      <c r="AC41" s="104"/>
      <c r="AD41" s="104"/>
      <c r="AE41" s="104"/>
    </row>
    <row r="42" spans="1:31" ht="14.5" hidden="1" customHeight="1" x14ac:dyDescent="0.35">
      <c r="A42" t="s">
        <v>0</v>
      </c>
      <c r="B42" t="s">
        <v>1</v>
      </c>
      <c r="C42" t="s">
        <v>2</v>
      </c>
      <c r="D42">
        <f>C25*$N$19*$N$14</f>
        <v>0</v>
      </c>
      <c r="E42" t="e">
        <f>#REF!*$N$19*$N$14</f>
        <v>#REF!</v>
      </c>
      <c r="F42" t="e">
        <f>F15*$N$19*$N$14</f>
        <v>#VALUE!</v>
      </c>
      <c r="S42" s="102"/>
      <c r="Y42" s="104"/>
      <c r="Z42" s="104"/>
      <c r="AA42" s="104"/>
      <c r="AB42" s="104"/>
      <c r="AC42" s="104"/>
      <c r="AD42" s="104"/>
      <c r="AE42" s="104"/>
    </row>
    <row r="43" spans="1:31" ht="14.5" hidden="1" customHeight="1" x14ac:dyDescent="0.35">
      <c r="A43" t="s">
        <v>0</v>
      </c>
      <c r="B43" t="s">
        <v>1</v>
      </c>
      <c r="C43" t="s">
        <v>3</v>
      </c>
      <c r="D43">
        <f>C26*$N$19*$N$14</f>
        <v>0</v>
      </c>
      <c r="E43" t="e">
        <f>#REF!*$N$19*$N$14</f>
        <v>#REF!</v>
      </c>
      <c r="F43">
        <f>F16*$N$19*$N$14</f>
        <v>0</v>
      </c>
      <c r="S43" s="102"/>
      <c r="Y43" s="104"/>
      <c r="Z43" s="104"/>
      <c r="AA43" s="104"/>
      <c r="AB43" s="104"/>
      <c r="AC43" s="104"/>
      <c r="AD43" s="104"/>
      <c r="AE43" s="104"/>
    </row>
    <row r="44" spans="1:31" ht="14.5" hidden="1" customHeight="1" x14ac:dyDescent="0.35">
      <c r="A44" t="s">
        <v>0</v>
      </c>
      <c r="B44" t="s">
        <v>4</v>
      </c>
      <c r="C44" t="s">
        <v>2</v>
      </c>
      <c r="D44">
        <f>C27*$N$19*$N$14</f>
        <v>0</v>
      </c>
      <c r="E44" t="e">
        <f>#REF!*$N$19*$N$14</f>
        <v>#REF!</v>
      </c>
      <c r="F44">
        <f>F17*$N$19*$N$14</f>
        <v>0</v>
      </c>
      <c r="S44" s="102"/>
      <c r="Y44" s="104"/>
      <c r="Z44" s="104"/>
      <c r="AA44" s="104"/>
      <c r="AB44" s="104"/>
      <c r="AC44" s="104"/>
      <c r="AD44" s="104"/>
      <c r="AE44" s="104"/>
    </row>
    <row r="45" spans="1:31" ht="14.5" hidden="1" customHeight="1" x14ac:dyDescent="0.35">
      <c r="A45" t="s">
        <v>0</v>
      </c>
      <c r="B45" t="s">
        <v>4</v>
      </c>
      <c r="C45" t="s">
        <v>3</v>
      </c>
      <c r="D45">
        <f>C28*$N$19*$N$14</f>
        <v>0</v>
      </c>
      <c r="E45" t="e">
        <f>#REF!*$N$19*$N$14</f>
        <v>#REF!</v>
      </c>
      <c r="F45">
        <f>F18*$N$19*$N$14</f>
        <v>0</v>
      </c>
      <c r="S45" s="102"/>
      <c r="Y45" s="104"/>
      <c r="Z45" s="104"/>
      <c r="AA45" s="104"/>
      <c r="AB45" s="104"/>
      <c r="AC45" s="104"/>
      <c r="AD45" s="104"/>
      <c r="AE45" s="104"/>
    </row>
    <row r="46" spans="1:31" ht="14.5" hidden="1" customHeight="1" x14ac:dyDescent="0.35">
      <c r="A46" t="s">
        <v>5</v>
      </c>
      <c r="B46" t="s">
        <v>1</v>
      </c>
      <c r="C46" t="s">
        <v>2</v>
      </c>
      <c r="S46" s="102"/>
      <c r="Y46" s="104"/>
      <c r="Z46" s="104"/>
      <c r="AA46" s="104"/>
      <c r="AB46" s="104"/>
      <c r="AC46" s="104"/>
      <c r="AD46" s="104"/>
      <c r="AE46" s="104"/>
    </row>
    <row r="47" spans="1:31" ht="14.5" hidden="1" customHeight="1" x14ac:dyDescent="0.35">
      <c r="A47" t="s">
        <v>5</v>
      </c>
      <c r="B47" t="s">
        <v>1</v>
      </c>
      <c r="C47" t="s">
        <v>3</v>
      </c>
      <c r="D47">
        <f>C30*$N$19*$N$14</f>
        <v>0</v>
      </c>
      <c r="E47" t="e">
        <f>#REF!*$N$19*$N$14</f>
        <v>#REF!</v>
      </c>
      <c r="F47">
        <f>F20*$N$19*$N$14</f>
        <v>0</v>
      </c>
      <c r="S47" s="102"/>
      <c r="Y47" s="104"/>
      <c r="Z47" s="104"/>
      <c r="AA47" s="104"/>
      <c r="AB47" s="104"/>
      <c r="AC47" s="104"/>
      <c r="AD47" s="104"/>
      <c r="AE47" s="104"/>
    </row>
    <row r="48" spans="1:31" ht="14.5" hidden="1" customHeight="1" x14ac:dyDescent="0.35">
      <c r="A48" t="s">
        <v>5</v>
      </c>
      <c r="B48" t="s">
        <v>4</v>
      </c>
      <c r="C48" t="s">
        <v>2</v>
      </c>
      <c r="D48" t="e">
        <f>#REF!*$N$19*$N$14</f>
        <v>#REF!</v>
      </c>
      <c r="E48" t="e">
        <f>#REF!*$N$19*$N$14</f>
        <v>#REF!</v>
      </c>
      <c r="F48" t="e">
        <f>#REF!*$N$19*$N$14</f>
        <v>#REF!</v>
      </c>
      <c r="S48" s="102"/>
      <c r="Y48" s="104"/>
      <c r="Z48" s="104"/>
      <c r="AA48" s="104"/>
      <c r="AB48" s="104"/>
      <c r="AC48" s="104"/>
      <c r="AD48" s="104"/>
      <c r="AE48" s="104"/>
    </row>
    <row r="49" spans="1:31" ht="14.5" hidden="1" customHeight="1" x14ac:dyDescent="0.35">
      <c r="A49" t="s">
        <v>5</v>
      </c>
      <c r="B49" t="s">
        <v>4</v>
      </c>
      <c r="C49" t="s">
        <v>3</v>
      </c>
      <c r="D49" t="e">
        <f>#REF!*$N$19*$N$14</f>
        <v>#REF!</v>
      </c>
      <c r="E49" t="e">
        <f>#REF!*$N$19*$N$14</f>
        <v>#REF!</v>
      </c>
      <c r="F49" t="e">
        <f>#REF!*$N$19*$N$14</f>
        <v>#REF!</v>
      </c>
      <c r="S49" s="102"/>
      <c r="Y49" s="104"/>
      <c r="Z49" s="104"/>
      <c r="AA49" s="104"/>
      <c r="AB49" s="104"/>
      <c r="AC49" s="104"/>
      <c r="AD49" s="104"/>
      <c r="AE49" s="104"/>
    </row>
    <row r="50" spans="1:31" ht="14.5" hidden="1" customHeight="1" x14ac:dyDescent="0.35">
      <c r="S50" s="102"/>
      <c r="Y50" s="104"/>
      <c r="Z50" s="104"/>
      <c r="AA50" s="104"/>
      <c r="AB50" s="104"/>
      <c r="AC50" s="104"/>
      <c r="AD50" s="104"/>
      <c r="AE50" s="104"/>
    </row>
    <row r="51" spans="1:31" x14ac:dyDescent="0.35">
      <c r="S51" s="102"/>
      <c r="Y51" s="104"/>
      <c r="Z51" s="104"/>
      <c r="AA51" s="104"/>
      <c r="AB51" s="104"/>
      <c r="AC51" s="104"/>
      <c r="AD51" s="104"/>
      <c r="AE51" s="104"/>
    </row>
    <row r="52" spans="1:31" x14ac:dyDescent="0.35">
      <c r="Y52" s="104"/>
      <c r="Z52" s="104"/>
      <c r="AA52" s="104"/>
      <c r="AB52" s="104"/>
      <c r="AC52" s="104"/>
      <c r="AD52" s="104"/>
      <c r="AE52" s="104"/>
    </row>
    <row r="53" spans="1:31" x14ac:dyDescent="0.35">
      <c r="Y53" s="104"/>
      <c r="Z53" s="104"/>
      <c r="AA53" s="104"/>
      <c r="AB53" s="104"/>
      <c r="AC53" s="104"/>
      <c r="AD53" s="104"/>
      <c r="AE53" s="104"/>
    </row>
    <row r="54" spans="1:31" ht="15" thickBot="1" x14ac:dyDescent="0.4">
      <c r="A54" s="14" t="s">
        <v>90</v>
      </c>
      <c r="Y54" s="104"/>
      <c r="Z54" s="104"/>
      <c r="AA54" s="104"/>
      <c r="AB54" s="104"/>
      <c r="AC54" s="104"/>
      <c r="AD54" s="104"/>
      <c r="AE54" s="104"/>
    </row>
    <row r="55" spans="1:31" ht="15" thickBot="1" x14ac:dyDescent="0.4">
      <c r="A55" s="26"/>
      <c r="B55" s="136" t="s">
        <v>12</v>
      </c>
      <c r="C55" s="137"/>
      <c r="D55" s="138"/>
      <c r="E55" s="139" t="s">
        <v>13</v>
      </c>
      <c r="F55" s="140"/>
      <c r="G55" s="141"/>
      <c r="Y55" s="104"/>
      <c r="Z55" s="104"/>
      <c r="AA55" s="104"/>
      <c r="AB55" s="104"/>
      <c r="AC55" s="104"/>
      <c r="AD55" s="104"/>
      <c r="AE55" s="104"/>
    </row>
    <row r="56" spans="1:31" ht="44" thickBot="1" x14ac:dyDescent="0.4">
      <c r="A56" s="27"/>
      <c r="B56" s="48" t="s">
        <v>108</v>
      </c>
      <c r="C56" s="48" t="s">
        <v>180</v>
      </c>
      <c r="D56" s="48" t="s">
        <v>181</v>
      </c>
      <c r="E56" s="48" t="s">
        <v>108</v>
      </c>
      <c r="F56" s="48" t="s">
        <v>180</v>
      </c>
      <c r="G56" s="48" t="s">
        <v>181</v>
      </c>
      <c r="Y56" s="104"/>
      <c r="Z56" s="104"/>
      <c r="AA56" s="104"/>
      <c r="AB56" s="104"/>
      <c r="AC56" s="104"/>
      <c r="AD56" s="104"/>
      <c r="AE56" s="104"/>
    </row>
    <row r="57" spans="1:31" x14ac:dyDescent="0.35">
      <c r="A57" s="27" t="s">
        <v>25</v>
      </c>
      <c r="B57" s="5">
        <f>K7</f>
        <v>54.933613787076496</v>
      </c>
      <c r="C57" s="5">
        <f>K8</f>
        <v>95.693345182185482</v>
      </c>
      <c r="D57" s="5">
        <f>K9</f>
        <v>93.093437282015358</v>
      </c>
      <c r="E57" s="5">
        <f>M7</f>
        <v>61.31745845477522</v>
      </c>
      <c r="F57" s="5">
        <f>M8</f>
        <v>116.37588790083208</v>
      </c>
      <c r="G57" s="5">
        <f>M9</f>
        <v>120.64725706607697</v>
      </c>
      <c r="I57" s="101"/>
      <c r="Y57" s="104"/>
      <c r="Z57" s="104"/>
      <c r="AA57" s="104"/>
      <c r="AB57" s="104"/>
      <c r="AC57" s="104"/>
      <c r="AD57" s="104"/>
      <c r="AE57" s="104"/>
    </row>
    <row r="58" spans="1:31" x14ac:dyDescent="0.35">
      <c r="A58" s="30" t="s">
        <v>26</v>
      </c>
      <c r="B58" s="34">
        <f>$J$16*0.1</f>
        <v>157540</v>
      </c>
      <c r="C58" s="34">
        <f>$J$16*0.2</f>
        <v>315080</v>
      </c>
      <c r="D58" s="34">
        <f>$J$16*0.3</f>
        <v>472620</v>
      </c>
      <c r="E58" s="34">
        <f>$J$16*0.1</f>
        <v>157540</v>
      </c>
      <c r="F58" s="34">
        <f>$J$16*0.2</f>
        <v>315080</v>
      </c>
      <c r="G58" s="34">
        <f>$J$16*0.3</f>
        <v>472620</v>
      </c>
    </row>
    <row r="59" spans="1:31" x14ac:dyDescent="0.35">
      <c r="A59" s="27" t="s">
        <v>27</v>
      </c>
      <c r="B59" s="33">
        <f t="shared" ref="B59:G59" si="5">B57/B58</f>
        <v>3.4869629165339909E-4</v>
      </c>
      <c r="C59" s="33">
        <f t="shared" si="5"/>
        <v>3.0371126438423729E-4</v>
      </c>
      <c r="D59" s="33">
        <f t="shared" si="5"/>
        <v>1.9697312276673726E-4</v>
      </c>
      <c r="E59" s="33">
        <f t="shared" si="5"/>
        <v>3.8921834743414513E-4</v>
      </c>
      <c r="F59" s="33">
        <f t="shared" si="5"/>
        <v>3.6935345912413384E-4</v>
      </c>
      <c r="G59" s="33">
        <f t="shared" si="5"/>
        <v>2.5527327888383262E-4</v>
      </c>
      <c r="Y59" s="105"/>
      <c r="Z59" s="106"/>
      <c r="AA59" s="106"/>
      <c r="AB59" s="106"/>
      <c r="AC59" s="106"/>
      <c r="AD59" s="106"/>
      <c r="AE59" s="106"/>
    </row>
    <row r="60" spans="1:31" x14ac:dyDescent="0.35">
      <c r="A60" s="27" t="s">
        <v>28</v>
      </c>
      <c r="B60" s="95">
        <f t="shared" ref="B60:G60" si="6">B59*$J$20</f>
        <v>827.37854082047727</v>
      </c>
      <c r="C60" s="95">
        <f t="shared" si="6"/>
        <v>720.63910277183743</v>
      </c>
      <c r="D60" s="95">
        <f t="shared" si="6"/>
        <v>467.37329531909052</v>
      </c>
      <c r="E60" s="95">
        <f t="shared" si="6"/>
        <v>923.52834276974863</v>
      </c>
      <c r="F60" s="95">
        <f t="shared" si="6"/>
        <v>876.39339268018489</v>
      </c>
      <c r="G60" s="95">
        <f t="shared" si="6"/>
        <v>605.70656485014376</v>
      </c>
    </row>
    <row r="61" spans="1:31" x14ac:dyDescent="0.35">
      <c r="A61" s="27"/>
      <c r="F61" s="1"/>
    </row>
    <row r="62" spans="1:31" ht="15" thickBot="1" x14ac:dyDescent="0.4">
      <c r="A62" s="29"/>
      <c r="B62" s="81" t="s">
        <v>43</v>
      </c>
      <c r="C62" s="84" t="s">
        <v>44</v>
      </c>
      <c r="D62" s="26"/>
    </row>
    <row r="63" spans="1:31" x14ac:dyDescent="0.35">
      <c r="A63" s="28" t="s">
        <v>31</v>
      </c>
      <c r="B63" s="35">
        <f>K10*$J$20</f>
        <v>238880773.23447868</v>
      </c>
      <c r="C63" s="35">
        <f>M10*$J$20</f>
        <v>312095223.79971373</v>
      </c>
      <c r="D63" s="26"/>
    </row>
    <row r="64" spans="1:31" x14ac:dyDescent="0.35">
      <c r="A64" s="28" t="s">
        <v>32</v>
      </c>
      <c r="B64" s="35">
        <f>K11*$J$20</f>
        <v>162284686.45921484</v>
      </c>
      <c r="C64" s="35">
        <f>M11*$J$20</f>
        <v>157488026.04111123</v>
      </c>
      <c r="D64" s="9"/>
      <c r="E64" s="5"/>
      <c r="F64" s="5"/>
      <c r="G64" s="11"/>
    </row>
    <row r="65" spans="1:4" ht="15" thickBot="1" x14ac:dyDescent="0.4">
      <c r="A65" s="75" t="s">
        <v>33</v>
      </c>
      <c r="B65" s="73" t="s">
        <v>55</v>
      </c>
      <c r="C65" s="73" t="s">
        <v>55</v>
      </c>
      <c r="D65" s="9"/>
    </row>
  </sheetData>
  <mergeCells count="21">
    <mergeCell ref="B30:D30"/>
    <mergeCell ref="E30:G30"/>
    <mergeCell ref="B55:D55"/>
    <mergeCell ref="E55:G55"/>
    <mergeCell ref="B14:D14"/>
    <mergeCell ref="E14:G14"/>
    <mergeCell ref="B2:E2"/>
    <mergeCell ref="F2:I2"/>
    <mergeCell ref="F3:G3"/>
    <mergeCell ref="H3:I3"/>
    <mergeCell ref="F4:G4"/>
    <mergeCell ref="H4:I4"/>
    <mergeCell ref="B4:C4"/>
    <mergeCell ref="B3:C3"/>
    <mergeCell ref="D3:E3"/>
    <mergeCell ref="D4:E4"/>
    <mergeCell ref="J2:M2"/>
    <mergeCell ref="J3:K3"/>
    <mergeCell ref="L3:M3"/>
    <mergeCell ref="J4:K4"/>
    <mergeCell ref="L4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80" zoomScaleNormal="80" workbookViewId="0">
      <selection activeCell="A6" sqref="A6"/>
    </sheetView>
  </sheetViews>
  <sheetFormatPr defaultRowHeight="14.5" x14ac:dyDescent="0.35"/>
  <cols>
    <col min="3" max="3" width="11" bestFit="1" customWidth="1"/>
    <col min="4" max="4" width="10.26953125" customWidth="1"/>
    <col min="8" max="8" width="10" customWidth="1"/>
    <col min="9" max="9" width="22.453125" customWidth="1"/>
    <col min="10" max="10" width="19.1796875" customWidth="1"/>
    <col min="11" max="11" width="17.7265625" bestFit="1" customWidth="1"/>
    <col min="12" max="12" width="24.453125" customWidth="1"/>
    <col min="14" max="14" width="21.26953125" customWidth="1"/>
    <col min="15" max="15" width="25" bestFit="1" customWidth="1"/>
    <col min="17" max="17" width="22.26953125" customWidth="1"/>
    <col min="18" max="18" width="31.7265625" customWidth="1"/>
    <col min="19" max="19" width="30.26953125" customWidth="1"/>
    <col min="20" max="20" width="31.54296875" bestFit="1" customWidth="1"/>
    <col min="21" max="21" width="26.7265625" bestFit="1" customWidth="1"/>
    <col min="22" max="22" width="31.54296875" bestFit="1" customWidth="1"/>
    <col min="23" max="23" width="24.7265625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75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R9" s="153" t="s">
        <v>86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f>'BCA - WTP per ha &amp; per year'!B17/11</f>
        <v>14321.818181818182</v>
      </c>
      <c r="D10" s="87">
        <f>V11</f>
        <v>827.37854082047727</v>
      </c>
      <c r="E10" s="88">
        <v>1227</v>
      </c>
      <c r="F10">
        <v>0</v>
      </c>
      <c r="G10" s="88">
        <v>300</v>
      </c>
      <c r="I10" s="5">
        <f>D10*C10</f>
        <v>11849565.029168908</v>
      </c>
      <c r="J10" s="85">
        <f>$W$11</f>
        <v>238880773.23447868</v>
      </c>
      <c r="K10" s="5">
        <f>(G10*C10)+(E10*C10)</f>
        <v>21869416.363636367</v>
      </c>
      <c r="L10" s="5">
        <f>(I10+J10-K10)/(1+$J$5)^B10</f>
        <v>228860921.90001121</v>
      </c>
      <c r="N10" s="5">
        <f>(K10)/(1+$J$5)^$B10</f>
        <v>21869416.363636367</v>
      </c>
      <c r="O10" s="5">
        <f>(I10+J10)/(1+$J$5)^$B10</f>
        <v>250730338.26364759</v>
      </c>
      <c r="R10" s="64" t="s">
        <v>68</v>
      </c>
      <c r="S10" s="28" t="s">
        <v>69</v>
      </c>
      <c r="T10" s="76" t="s">
        <v>68</v>
      </c>
      <c r="U10" s="28" t="s">
        <v>69</v>
      </c>
      <c r="V10" s="76" t="s">
        <v>68</v>
      </c>
      <c r="W10" s="28" t="s">
        <v>69</v>
      </c>
    </row>
    <row r="11" spans="1:23" ht="15" thickBot="1" x14ac:dyDescent="0.4">
      <c r="A11">
        <v>2018</v>
      </c>
      <c r="B11">
        <v>1</v>
      </c>
      <c r="C11" s="36">
        <f>C10+$C$10</f>
        <v>28643.636363636364</v>
      </c>
      <c r="D11" s="2">
        <f>$D$10</f>
        <v>827.37854082047727</v>
      </c>
      <c r="E11">
        <f>E10</f>
        <v>1227</v>
      </c>
      <c r="F11">
        <v>0</v>
      </c>
      <c r="G11">
        <f>G10</f>
        <v>300</v>
      </c>
      <c r="I11" s="5">
        <f>D11*C11</f>
        <v>23699130.058337815</v>
      </c>
      <c r="J11" s="39">
        <f>$J$10</f>
        <v>238880773.23447868</v>
      </c>
      <c r="K11" s="5">
        <f>(G11*C11)+(E11*(C11-C10))</f>
        <v>26165961.81818182</v>
      </c>
      <c r="L11" s="5">
        <f t="shared" ref="L11:L40" si="0">(I11+J11-K11)/(1+$J$5)^B11</f>
        <v>228419267.12525091</v>
      </c>
      <c r="N11" s="5">
        <f t="shared" ref="N11:N40" si="1">(K11)/(1+$J$5)^$B11</f>
        <v>25281122.529644273</v>
      </c>
      <c r="O11" s="5">
        <f t="shared" ref="O11:O40" si="2">(I11+J11)/(1+$J$5)^$B11</f>
        <v>253700389.65489519</v>
      </c>
      <c r="Q11" t="s">
        <v>43</v>
      </c>
      <c r="R11" s="44">
        <f>'BCA - WTP per ha &amp; per year'!$B$19</f>
        <v>693.67356066751097</v>
      </c>
      <c r="S11" s="44">
        <f>'BCA - WTP per ha &amp; per year'!$B$24</f>
        <v>209756507.67057517</v>
      </c>
      <c r="T11" s="44">
        <f>'BCA - WTP per ha &amp; per year'!$B$35</f>
        <v>559.96858051454444</v>
      </c>
      <c r="U11" s="44">
        <f>'BCA - WTP per ha &amp; per year'!$B$38</f>
        <v>180632242.10667169</v>
      </c>
      <c r="V11" s="44">
        <f>'BCA - WTP per ha &amp; per year'!$B$60</f>
        <v>827.37854082047727</v>
      </c>
      <c r="W11" s="44">
        <f>'BCA - WTP per ha &amp; per year'!$B$63</f>
        <v>238880773.23447868</v>
      </c>
    </row>
    <row r="12" spans="1:23" ht="15" thickBot="1" x14ac:dyDescent="0.4">
      <c r="A12">
        <v>2019</v>
      </c>
      <c r="B12">
        <v>2</v>
      </c>
      <c r="C12" s="36">
        <f t="shared" ref="C12:C20" si="3">C11+$C$10</f>
        <v>42965.454545454544</v>
      </c>
      <c r="D12" s="2">
        <f t="shared" ref="D12:D43" si="4">$D$10</f>
        <v>827.37854082047727</v>
      </c>
      <c r="E12">
        <f t="shared" ref="E12:E43" si="5">E11</f>
        <v>1227</v>
      </c>
      <c r="F12">
        <f t="shared" ref="F12:G25" si="6">F11</f>
        <v>0</v>
      </c>
      <c r="G12">
        <f t="shared" si="6"/>
        <v>300</v>
      </c>
      <c r="I12" s="5">
        <f>D12*C12</f>
        <v>35548695.087506726</v>
      </c>
      <c r="J12" s="39">
        <f t="shared" ref="J12:J43" si="7">$J$10</f>
        <v>238880773.23447868</v>
      </c>
      <c r="K12" s="5">
        <f t="shared" ref="K12:K43" si="8">(G12*C12)+(E12*(C12-C11))</f>
        <v>30462507.27272727</v>
      </c>
      <c r="L12" s="5">
        <f t="shared" si="0"/>
        <v>227745768.67535594</v>
      </c>
      <c r="N12" s="5">
        <f t="shared" si="1"/>
        <v>28437076.499080282</v>
      </c>
      <c r="O12" s="5">
        <f>(I12+J12)/(1+$J$5)^$B12</f>
        <v>256182845.17443624</v>
      </c>
      <c r="Q12" t="s">
        <v>44</v>
      </c>
      <c r="R12" s="44">
        <f>'BCA - WTP per ha &amp; per year'!$E$19</f>
        <v>769.46078112838177</v>
      </c>
      <c r="S12" s="82">
        <f>'BCA - WTP per ha &amp; per year'!$C$24</f>
        <v>271816766.49113196</v>
      </c>
      <c r="T12" s="44">
        <f>'BCA - WTP per ha &amp; per year'!$E$35</f>
        <v>615.3932194870149</v>
      </c>
      <c r="U12" s="82">
        <f>'BCA - WTP per ha &amp; per year'!$C$38</f>
        <v>231538309.18255019</v>
      </c>
      <c r="V12" s="44">
        <f>'BCA - WTP per ha &amp; per year'!$E$60</f>
        <v>923.52834276974863</v>
      </c>
      <c r="W12" s="82">
        <f>'BCA - WTP per ha &amp; per year'!$C$63</f>
        <v>312095223.79971373</v>
      </c>
    </row>
    <row r="13" spans="1:23" x14ac:dyDescent="0.35">
      <c r="A13">
        <v>2020</v>
      </c>
      <c r="B13">
        <v>3</v>
      </c>
      <c r="C13" s="36">
        <f t="shared" si="3"/>
        <v>57287.272727272728</v>
      </c>
      <c r="D13" s="2">
        <f t="shared" si="4"/>
        <v>827.37854082047727</v>
      </c>
      <c r="E13">
        <f t="shared" si="5"/>
        <v>1227</v>
      </c>
      <c r="F13">
        <f t="shared" si="6"/>
        <v>0</v>
      </c>
      <c r="G13">
        <f t="shared" si="6"/>
        <v>300</v>
      </c>
      <c r="I13" s="5">
        <f t="shared" ref="I13:I25" si="9">D13*C13</f>
        <v>47398260.11667563</v>
      </c>
      <c r="J13" s="39">
        <f t="shared" si="7"/>
        <v>238880773.23447868</v>
      </c>
      <c r="K13" s="5">
        <f t="shared" si="8"/>
        <v>34759052.727272734</v>
      </c>
      <c r="L13" s="5">
        <f t="shared" si="0"/>
        <v>226856611.85347232</v>
      </c>
      <c r="N13" s="5">
        <f t="shared" si="1"/>
        <v>31350674.063293822</v>
      </c>
      <c r="O13" s="5">
        <f t="shared" si="2"/>
        <v>258207285.91676614</v>
      </c>
      <c r="S13" s="26"/>
      <c r="T13" s="2"/>
      <c r="U13" s="5"/>
    </row>
    <row r="14" spans="1:23" x14ac:dyDescent="0.35">
      <c r="A14">
        <v>2021</v>
      </c>
      <c r="B14">
        <v>4</v>
      </c>
      <c r="C14" s="36">
        <f t="shared" si="3"/>
        <v>71609.090909090912</v>
      </c>
      <c r="D14" s="2">
        <f t="shared" si="4"/>
        <v>827.37854082047727</v>
      </c>
      <c r="E14">
        <f t="shared" si="5"/>
        <v>1227</v>
      </c>
      <c r="F14">
        <f t="shared" si="6"/>
        <v>0</v>
      </c>
      <c r="G14">
        <f t="shared" si="6"/>
        <v>300</v>
      </c>
      <c r="I14" s="5">
        <f t="shared" si="9"/>
        <v>59247825.145844541</v>
      </c>
      <c r="J14" s="39">
        <f t="shared" si="7"/>
        <v>238880773.23447868</v>
      </c>
      <c r="K14" s="5">
        <f t="shared" si="8"/>
        <v>39055598.181818187</v>
      </c>
      <c r="L14" s="5">
        <f t="shared" si="0"/>
        <v>225767152.42953792</v>
      </c>
      <c r="N14" s="5">
        <f t="shared" si="1"/>
        <v>34034697.483663954</v>
      </c>
      <c r="O14" s="5">
        <f t="shared" si="2"/>
        <v>259801849.91320187</v>
      </c>
      <c r="T14" s="2"/>
      <c r="U14" s="5"/>
    </row>
    <row r="15" spans="1:23" x14ac:dyDescent="0.35">
      <c r="A15">
        <v>2022</v>
      </c>
      <c r="B15">
        <v>5</v>
      </c>
      <c r="C15" s="36">
        <f t="shared" si="3"/>
        <v>85930.909090909088</v>
      </c>
      <c r="D15" s="2">
        <f t="shared" si="4"/>
        <v>827.37854082047727</v>
      </c>
      <c r="E15">
        <f t="shared" si="5"/>
        <v>1227</v>
      </c>
      <c r="F15">
        <f t="shared" si="6"/>
        <v>0</v>
      </c>
      <c r="G15">
        <f t="shared" si="6"/>
        <v>300</v>
      </c>
      <c r="I15" s="5">
        <f t="shared" si="9"/>
        <v>71097390.175013453</v>
      </c>
      <c r="J15" s="39">
        <f t="shared" si="7"/>
        <v>238880773.23447868</v>
      </c>
      <c r="K15" s="5">
        <f t="shared" si="8"/>
        <v>43352143.636363626</v>
      </c>
      <c r="L15" s="5">
        <f t="shared" si="0"/>
        <v>224491954.23526451</v>
      </c>
      <c r="N15" s="5">
        <f t="shared" si="1"/>
        <v>36501341.667614698</v>
      </c>
      <c r="O15" s="5">
        <f t="shared" si="2"/>
        <v>260993295.90287921</v>
      </c>
      <c r="T15" s="2"/>
      <c r="U15" s="5"/>
    </row>
    <row r="16" spans="1:23" x14ac:dyDescent="0.35">
      <c r="A16">
        <v>2023</v>
      </c>
      <c r="B16">
        <v>6</v>
      </c>
      <c r="C16" s="36">
        <f t="shared" si="3"/>
        <v>100252.72727272726</v>
      </c>
      <c r="D16" s="2">
        <f t="shared" si="4"/>
        <v>827.37854082047727</v>
      </c>
      <c r="E16">
        <f t="shared" si="5"/>
        <v>1227</v>
      </c>
      <c r="F16">
        <f t="shared" si="6"/>
        <v>0</v>
      </c>
      <c r="G16">
        <f t="shared" si="6"/>
        <v>300</v>
      </c>
      <c r="I16" s="5">
        <f t="shared" si="9"/>
        <v>82946955.204182357</v>
      </c>
      <c r="J16" s="39">
        <f t="shared" si="7"/>
        <v>238880773.23447868</v>
      </c>
      <c r="K16" s="5">
        <f t="shared" si="8"/>
        <v>47648689.090909079</v>
      </c>
      <c r="L16" s="5">
        <f t="shared" si="0"/>
        <v>223044825.16507694</v>
      </c>
      <c r="N16" s="5">
        <f>(K16)/(1+$J$5)^$B16</f>
        <v>38762239.275874324</v>
      </c>
      <c r="O16" s="5">
        <f t="shared" si="2"/>
        <v>261807064.44095126</v>
      </c>
      <c r="T16" s="2"/>
      <c r="U16" s="5"/>
    </row>
    <row r="17" spans="1:23" x14ac:dyDescent="0.35">
      <c r="A17">
        <v>2024</v>
      </c>
      <c r="B17">
        <v>7</v>
      </c>
      <c r="C17" s="36">
        <f t="shared" si="3"/>
        <v>114574.54545454544</v>
      </c>
      <c r="D17" s="2">
        <f t="shared" si="4"/>
        <v>827.37854082047727</v>
      </c>
      <c r="E17">
        <f t="shared" si="5"/>
        <v>1227</v>
      </c>
      <c r="F17">
        <f t="shared" si="6"/>
        <v>0</v>
      </c>
      <c r="G17">
        <f t="shared" si="6"/>
        <v>300</v>
      </c>
      <c r="I17" s="5">
        <f>D17*C17</f>
        <v>94796520.23335126</v>
      </c>
      <c r="J17" s="39">
        <f t="shared" si="7"/>
        <v>238880773.23447868</v>
      </c>
      <c r="K17" s="5">
        <f t="shared" si="8"/>
        <v>51945234.545454532</v>
      </c>
      <c r="L17" s="5">
        <f t="shared" si="0"/>
        <v>221438851.64782822</v>
      </c>
      <c r="N17" s="5">
        <f t="shared" si="1"/>
        <v>40828484.803328119</v>
      </c>
      <c r="O17" s="5">
        <f t="shared" si="2"/>
        <v>262267336.45115632</v>
      </c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f t="shared" si="3"/>
        <v>128896.36363636362</v>
      </c>
      <c r="D18" s="2">
        <f t="shared" si="4"/>
        <v>827.37854082047727</v>
      </c>
      <c r="E18">
        <f t="shared" si="5"/>
        <v>1227</v>
      </c>
      <c r="F18">
        <f t="shared" si="6"/>
        <v>0</v>
      </c>
      <c r="G18">
        <f t="shared" si="6"/>
        <v>300</v>
      </c>
      <c r="I18" s="5">
        <f t="shared" si="9"/>
        <v>106646085.26252016</v>
      </c>
      <c r="J18" s="39">
        <f t="shared" si="7"/>
        <v>238880773.23447868</v>
      </c>
      <c r="K18" s="5">
        <f t="shared" si="8"/>
        <v>56241779.999999985</v>
      </c>
      <c r="L18" s="5">
        <f t="shared" si="0"/>
        <v>219686431.65154609</v>
      </c>
      <c r="N18" s="5">
        <f t="shared" si="1"/>
        <v>42710657.674171984</v>
      </c>
      <c r="O18" s="5">
        <f t="shared" si="2"/>
        <v>262397089.3257181</v>
      </c>
      <c r="R18" s="150" t="s">
        <v>66</v>
      </c>
      <c r="S18" s="150"/>
      <c r="T18" s="150" t="s">
        <v>92</v>
      </c>
      <c r="U18" s="150"/>
      <c r="V18" s="150" t="s">
        <v>94</v>
      </c>
      <c r="W18" s="150"/>
    </row>
    <row r="19" spans="1:23" x14ac:dyDescent="0.35">
      <c r="A19">
        <v>2026</v>
      </c>
      <c r="B19">
        <v>9</v>
      </c>
      <c r="C19" s="36">
        <f t="shared" si="3"/>
        <v>143218.18181818179</v>
      </c>
      <c r="D19" s="2">
        <f t="shared" si="4"/>
        <v>827.37854082047727</v>
      </c>
      <c r="E19">
        <f t="shared" si="5"/>
        <v>1227</v>
      </c>
      <c r="F19">
        <f t="shared" si="6"/>
        <v>0</v>
      </c>
      <c r="G19">
        <f t="shared" si="6"/>
        <v>300</v>
      </c>
      <c r="I19" s="5">
        <f>D19*C19</f>
        <v>118495650.29168907</v>
      </c>
      <c r="J19" s="39">
        <f t="shared" si="7"/>
        <v>238880773.23447868</v>
      </c>
      <c r="K19" s="5">
        <f>(G19*C19)+(E19*(C19-C18))</f>
        <v>60538325.454545438</v>
      </c>
      <c r="L19" s="5">
        <f>(I19+J19-K19)/(1+$J$5)^B19</f>
        <v>217799306.28100747</v>
      </c>
      <c r="N19" s="5">
        <f>(K19)/(1+$J$5)^$B19</f>
        <v>44418844.390494891</v>
      </c>
      <c r="O19" s="5">
        <f t="shared" si="2"/>
        <v>262218150.67150235</v>
      </c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f t="shared" si="3"/>
        <v>157539.99999999997</v>
      </c>
      <c r="D20" s="2">
        <f>$D$10</f>
        <v>827.37854082047727</v>
      </c>
      <c r="E20">
        <f t="shared" si="5"/>
        <v>1227</v>
      </c>
      <c r="F20">
        <f t="shared" si="6"/>
        <v>0</v>
      </c>
      <c r="G20">
        <f t="shared" si="6"/>
        <v>300</v>
      </c>
      <c r="I20" s="5">
        <f>D20*C20</f>
        <v>130345215.32085797</v>
      </c>
      <c r="J20" s="39">
        <f t="shared" si="7"/>
        <v>238880773.23447868</v>
      </c>
      <c r="K20" s="5">
        <f t="shared" si="8"/>
        <v>64834870.909090891</v>
      </c>
      <c r="L20" s="5">
        <f t="shared" si="0"/>
        <v>215788590.02556825</v>
      </c>
      <c r="N20" s="5">
        <f t="shared" si="1"/>
        <v>45962659.771898933</v>
      </c>
      <c r="O20" s="5">
        <f t="shared" si="2"/>
        <v>261751249.79746717</v>
      </c>
      <c r="R20" s="32" t="s">
        <v>50</v>
      </c>
      <c r="S20" s="37">
        <v>6.58118905645774</v>
      </c>
      <c r="T20" s="32" t="s">
        <v>50</v>
      </c>
      <c r="U20" s="37">
        <v>5.5649165646858094</v>
      </c>
      <c r="V20" s="32" t="s">
        <v>50</v>
      </c>
      <c r="W20" s="37">
        <v>7.597461548229675</v>
      </c>
    </row>
    <row r="21" spans="1:23" x14ac:dyDescent="0.35">
      <c r="A21">
        <v>2028</v>
      </c>
      <c r="B21">
        <v>11</v>
      </c>
      <c r="C21" s="36">
        <f>C20</f>
        <v>157539.99999999997</v>
      </c>
      <c r="D21" s="2">
        <f>$D$10</f>
        <v>827.37854082047727</v>
      </c>
      <c r="E21">
        <f t="shared" si="5"/>
        <v>1227</v>
      </c>
      <c r="F21">
        <f t="shared" si="6"/>
        <v>0</v>
      </c>
      <c r="G21">
        <f t="shared" si="6"/>
        <v>300</v>
      </c>
      <c r="I21" s="5">
        <f>D21*C21</f>
        <v>130345215.32085797</v>
      </c>
      <c r="J21" s="39">
        <f t="shared" si="7"/>
        <v>238880773.23447868</v>
      </c>
      <c r="K21" s="5">
        <f t="shared" si="8"/>
        <v>47261999.999999993</v>
      </c>
      <c r="L21" s="5">
        <f t="shared" si="0"/>
        <v>220527853.93615064</v>
      </c>
      <c r="N21" s="5">
        <f t="shared" si="1"/>
        <v>32371904.322271734</v>
      </c>
      <c r="O21" s="5">
        <f t="shared" si="2"/>
        <v>252899758.25842237</v>
      </c>
      <c r="R21" s="32" t="s">
        <v>51</v>
      </c>
      <c r="S21" s="58">
        <v>5142616183.3080902</v>
      </c>
      <c r="T21" s="32" t="s">
        <v>51</v>
      </c>
      <c r="U21" s="58">
        <v>4206202936.9605088</v>
      </c>
      <c r="V21" s="32" t="s">
        <v>51</v>
      </c>
      <c r="W21" s="58">
        <v>6079029429.6556664</v>
      </c>
    </row>
    <row r="22" spans="1:23" x14ac:dyDescent="0.35">
      <c r="A22">
        <v>2029</v>
      </c>
      <c r="B22">
        <v>12</v>
      </c>
      <c r="C22" s="36">
        <f t="shared" ref="C22:C43" si="10">C21</f>
        <v>157539.99999999997</v>
      </c>
      <c r="D22" s="2">
        <f t="shared" si="4"/>
        <v>827.37854082047727</v>
      </c>
      <c r="E22">
        <f t="shared" si="5"/>
        <v>1227</v>
      </c>
      <c r="F22">
        <f t="shared" si="6"/>
        <v>0</v>
      </c>
      <c r="G22">
        <f t="shared" si="6"/>
        <v>300</v>
      </c>
      <c r="I22" s="5">
        <f t="shared" si="9"/>
        <v>130345215.32085797</v>
      </c>
      <c r="J22" s="39">
        <f t="shared" si="7"/>
        <v>238880773.23447868</v>
      </c>
      <c r="K22" s="5">
        <f>(G22*C22)+(E22*(C22-C21))</f>
        <v>47261999.999999993</v>
      </c>
      <c r="L22" s="5">
        <f>(I22+J22-K22)/(1+$J$5)^B22</f>
        <v>213070390.27647406</v>
      </c>
      <c r="N22" s="5">
        <f t="shared" si="1"/>
        <v>31277202.243740808</v>
      </c>
      <c r="O22" s="5">
        <f t="shared" si="2"/>
        <v>244347592.52021489</v>
      </c>
      <c r="S22" s="26"/>
      <c r="U22" s="26"/>
      <c r="W22" s="26"/>
    </row>
    <row r="23" spans="1:23" x14ac:dyDescent="0.35">
      <c r="A23">
        <v>2030</v>
      </c>
      <c r="B23">
        <v>13</v>
      </c>
      <c r="C23" s="36">
        <f t="shared" si="10"/>
        <v>157539.99999999997</v>
      </c>
      <c r="D23" s="2">
        <f t="shared" si="4"/>
        <v>827.37854082047727</v>
      </c>
      <c r="E23">
        <f t="shared" si="5"/>
        <v>1227</v>
      </c>
      <c r="F23">
        <f t="shared" si="6"/>
        <v>0</v>
      </c>
      <c r="G23">
        <f t="shared" si="6"/>
        <v>300</v>
      </c>
      <c r="I23" s="5">
        <f>D23*C23</f>
        <v>130345215.32085797</v>
      </c>
      <c r="J23" s="39">
        <f t="shared" si="7"/>
        <v>238880773.23447868</v>
      </c>
      <c r="K23" s="5">
        <f t="shared" si="8"/>
        <v>47261999.999999993</v>
      </c>
      <c r="L23" s="5">
        <f t="shared" si="0"/>
        <v>205865111.37823588</v>
      </c>
      <c r="N23" s="5">
        <f t="shared" si="1"/>
        <v>30219519.076078083</v>
      </c>
      <c r="O23" s="5">
        <f t="shared" si="2"/>
        <v>236084630.45431396</v>
      </c>
      <c r="R23" s="152" t="s">
        <v>13</v>
      </c>
      <c r="S23" s="152"/>
      <c r="T23" s="152" t="s">
        <v>13</v>
      </c>
      <c r="U23" s="152"/>
      <c r="V23" s="152" t="s">
        <v>13</v>
      </c>
      <c r="W23" s="152"/>
    </row>
    <row r="24" spans="1:23" x14ac:dyDescent="0.35">
      <c r="A24">
        <v>2031</v>
      </c>
      <c r="B24">
        <v>14</v>
      </c>
      <c r="C24" s="36">
        <f t="shared" si="10"/>
        <v>157539.99999999997</v>
      </c>
      <c r="D24" s="2">
        <f t="shared" si="4"/>
        <v>827.37854082047727</v>
      </c>
      <c r="E24">
        <f t="shared" si="5"/>
        <v>1227</v>
      </c>
      <c r="F24">
        <f t="shared" si="6"/>
        <v>0</v>
      </c>
      <c r="G24">
        <f t="shared" si="6"/>
        <v>300</v>
      </c>
      <c r="I24" s="5">
        <f t="shared" si="9"/>
        <v>130345215.32085797</v>
      </c>
      <c r="J24" s="39">
        <f t="shared" si="7"/>
        <v>238880773.23447868</v>
      </c>
      <c r="K24" s="5">
        <f t="shared" si="8"/>
        <v>47261999.999999993</v>
      </c>
      <c r="L24" s="5">
        <f t="shared" si="0"/>
        <v>198903489.25433415</v>
      </c>
      <c r="N24" s="5">
        <f t="shared" si="1"/>
        <v>29197602.972056117</v>
      </c>
      <c r="O24" s="5">
        <f t="shared" si="2"/>
        <v>228101092.22639027</v>
      </c>
      <c r="R24" s="150" t="s">
        <v>67</v>
      </c>
      <c r="S24" s="150"/>
      <c r="T24" s="150" t="s">
        <v>93</v>
      </c>
      <c r="U24" s="150"/>
      <c r="V24" s="150" t="s">
        <v>95</v>
      </c>
      <c r="W24" s="150"/>
    </row>
    <row r="25" spans="1:23" x14ac:dyDescent="0.35">
      <c r="A25">
        <v>2032</v>
      </c>
      <c r="B25">
        <v>15</v>
      </c>
      <c r="C25" s="36">
        <f t="shared" si="10"/>
        <v>157539.99999999997</v>
      </c>
      <c r="D25" s="2">
        <f t="shared" si="4"/>
        <v>827.37854082047727</v>
      </c>
      <c r="E25">
        <f t="shared" si="5"/>
        <v>1227</v>
      </c>
      <c r="F25">
        <f t="shared" si="6"/>
        <v>0</v>
      </c>
      <c r="G25">
        <f t="shared" si="6"/>
        <v>300</v>
      </c>
      <c r="I25" s="5">
        <f t="shared" si="9"/>
        <v>130345215.32085797</v>
      </c>
      <c r="J25" s="39">
        <f t="shared" si="7"/>
        <v>238880773.23447868</v>
      </c>
      <c r="K25" s="5">
        <f t="shared" si="8"/>
        <v>47261999.999999993</v>
      </c>
      <c r="L25" s="5">
        <f t="shared" si="0"/>
        <v>192177284.3037045</v>
      </c>
      <c r="N25" s="5">
        <f t="shared" si="1"/>
        <v>28210244.417445526</v>
      </c>
      <c r="O25" s="5">
        <f t="shared" si="2"/>
        <v>220387528.72115004</v>
      </c>
      <c r="S25" s="66" t="s">
        <v>65</v>
      </c>
      <c r="U25" s="66" t="s">
        <v>65</v>
      </c>
      <c r="W25" s="66" t="s">
        <v>65</v>
      </c>
    </row>
    <row r="26" spans="1:23" x14ac:dyDescent="0.35">
      <c r="A26">
        <v>2033</v>
      </c>
      <c r="B26">
        <v>16</v>
      </c>
      <c r="C26" s="36">
        <f t="shared" si="10"/>
        <v>157539.99999999997</v>
      </c>
      <c r="D26" s="2">
        <f t="shared" si="4"/>
        <v>827.37854082047727</v>
      </c>
      <c r="E26">
        <f t="shared" si="5"/>
        <v>1227</v>
      </c>
      <c r="F26">
        <f t="shared" ref="F26:G26" si="11">F25</f>
        <v>0</v>
      </c>
      <c r="G26">
        <f t="shared" si="11"/>
        <v>300</v>
      </c>
      <c r="I26" s="5">
        <f t="shared" ref="I26:I43" si="12">D26*C26</f>
        <v>130345215.32085797</v>
      </c>
      <c r="J26" s="39">
        <f t="shared" si="7"/>
        <v>238880773.23447868</v>
      </c>
      <c r="K26" s="5">
        <f>(G26*C26)+(E26*(C26-C25))</f>
        <v>47261999.999999993</v>
      </c>
      <c r="L26" s="5">
        <f t="shared" si="0"/>
        <v>185678535.55913484</v>
      </c>
      <c r="N26" s="5">
        <f t="shared" si="1"/>
        <v>27256274.799464282</v>
      </c>
      <c r="O26" s="5">
        <f t="shared" si="2"/>
        <v>212934810.35859913</v>
      </c>
      <c r="R26" s="32" t="s">
        <v>50</v>
      </c>
      <c r="S26" s="37">
        <v>8.1735263374946747</v>
      </c>
      <c r="T26" s="32" t="s">
        <v>50</v>
      </c>
      <c r="U26" s="37">
        <v>6.8525823703166626</v>
      </c>
      <c r="V26" s="32" t="s">
        <v>50</v>
      </c>
      <c r="W26" s="37">
        <v>9.4944703046726868</v>
      </c>
    </row>
    <row r="27" spans="1:23" x14ac:dyDescent="0.35">
      <c r="A27">
        <v>2034</v>
      </c>
      <c r="B27">
        <v>17</v>
      </c>
      <c r="C27" s="36">
        <f t="shared" si="10"/>
        <v>157539.99999999997</v>
      </c>
      <c r="D27" s="2">
        <f t="shared" si="4"/>
        <v>827.37854082047727</v>
      </c>
      <c r="E27">
        <f t="shared" si="5"/>
        <v>1227</v>
      </c>
      <c r="F27">
        <f t="shared" ref="F27:G27" si="13">F26</f>
        <v>0</v>
      </c>
      <c r="G27">
        <f t="shared" si="13"/>
        <v>300</v>
      </c>
      <c r="I27" s="5">
        <f t="shared" si="12"/>
        <v>130345215.32085797</v>
      </c>
      <c r="J27" s="39">
        <f t="shared" si="7"/>
        <v>238880773.23447868</v>
      </c>
      <c r="K27" s="5">
        <f t="shared" si="8"/>
        <v>47261999.999999993</v>
      </c>
      <c r="L27" s="5">
        <f t="shared" si="0"/>
        <v>179399551.26486456</v>
      </c>
      <c r="N27" s="5">
        <f t="shared" si="1"/>
        <v>26334565.023636989</v>
      </c>
      <c r="O27" s="5">
        <f t="shared" si="2"/>
        <v>205734116.28850156</v>
      </c>
      <c r="R27" s="32" t="s">
        <v>51</v>
      </c>
      <c r="S27" s="58">
        <v>6609826734.3053646</v>
      </c>
      <c r="T27" s="32" t="s">
        <v>51</v>
      </c>
      <c r="U27" s="58">
        <v>5392683262.8809662</v>
      </c>
      <c r="V27" s="32" t="s">
        <v>51</v>
      </c>
      <c r="W27" s="58">
        <v>7826970205.7297621</v>
      </c>
    </row>
    <row r="28" spans="1:23" x14ac:dyDescent="0.35">
      <c r="A28">
        <v>2035</v>
      </c>
      <c r="B28">
        <v>18</v>
      </c>
      <c r="C28" s="36">
        <f t="shared" si="10"/>
        <v>157539.99999999997</v>
      </c>
      <c r="D28" s="2">
        <f t="shared" si="4"/>
        <v>827.37854082047727</v>
      </c>
      <c r="E28">
        <f t="shared" si="5"/>
        <v>1227</v>
      </c>
      <c r="F28">
        <f t="shared" ref="F28:G28" si="14">F27</f>
        <v>0</v>
      </c>
      <c r="G28">
        <f t="shared" si="14"/>
        <v>300</v>
      </c>
      <c r="I28" s="5">
        <f>D28*C28</f>
        <v>130345215.32085797</v>
      </c>
      <c r="J28" s="39">
        <f t="shared" si="7"/>
        <v>238880773.23447868</v>
      </c>
      <c r="K28" s="5">
        <f t="shared" si="8"/>
        <v>47261999.999999993</v>
      </c>
      <c r="L28" s="5">
        <f t="shared" si="0"/>
        <v>173332899.77281603</v>
      </c>
      <c r="N28" s="5">
        <f t="shared" si="1"/>
        <v>25444024.177427046</v>
      </c>
      <c r="O28" s="5">
        <f t="shared" si="2"/>
        <v>198776923.95024309</v>
      </c>
      <c r="U28" s="5"/>
    </row>
    <row r="29" spans="1:23" x14ac:dyDescent="0.35">
      <c r="A29">
        <v>2036</v>
      </c>
      <c r="B29">
        <v>19</v>
      </c>
      <c r="C29" s="36">
        <f t="shared" si="10"/>
        <v>157539.99999999997</v>
      </c>
      <c r="D29" s="2">
        <f t="shared" si="4"/>
        <v>827.37854082047727</v>
      </c>
      <c r="E29">
        <f t="shared" si="5"/>
        <v>1227</v>
      </c>
      <c r="F29">
        <f t="shared" ref="F29:G29" si="15">F28</f>
        <v>0</v>
      </c>
      <c r="G29">
        <f t="shared" si="15"/>
        <v>300</v>
      </c>
      <c r="I29" s="5">
        <f t="shared" si="12"/>
        <v>130345215.32085797</v>
      </c>
      <c r="J29" s="39">
        <f t="shared" si="7"/>
        <v>238880773.23447868</v>
      </c>
      <c r="K29" s="5">
        <f t="shared" si="8"/>
        <v>47261999.999999993</v>
      </c>
      <c r="L29" s="5">
        <f t="shared" si="0"/>
        <v>167471400.74668217</v>
      </c>
      <c r="N29" s="5">
        <f t="shared" si="1"/>
        <v>24583598.239059947</v>
      </c>
      <c r="O29" s="5">
        <f t="shared" si="2"/>
        <v>192054998.98574212</v>
      </c>
      <c r="Q29" s="32"/>
      <c r="R29" s="79"/>
      <c r="S29" s="79"/>
      <c r="T29" s="79"/>
      <c r="U29" s="5"/>
    </row>
    <row r="30" spans="1:23" x14ac:dyDescent="0.35">
      <c r="A30">
        <v>2037</v>
      </c>
      <c r="B30">
        <v>20</v>
      </c>
      <c r="C30" s="36">
        <f t="shared" si="10"/>
        <v>157539.99999999997</v>
      </c>
      <c r="D30" s="2">
        <f t="shared" si="4"/>
        <v>827.37854082047727</v>
      </c>
      <c r="E30">
        <f t="shared" si="5"/>
        <v>1227</v>
      </c>
      <c r="F30">
        <f t="shared" ref="F30:G30" si="16">F29</f>
        <v>0</v>
      </c>
      <c r="G30">
        <f t="shared" si="16"/>
        <v>300</v>
      </c>
      <c r="I30" s="5">
        <f t="shared" si="12"/>
        <v>130345215.32085797</v>
      </c>
      <c r="J30" s="39">
        <f t="shared" si="7"/>
        <v>238880773.23447868</v>
      </c>
      <c r="K30" s="5">
        <f t="shared" si="8"/>
        <v>47261999.999999993</v>
      </c>
      <c r="L30" s="5">
        <f t="shared" si="0"/>
        <v>161808116.66346106</v>
      </c>
      <c r="N30" s="5">
        <f t="shared" si="1"/>
        <v>23752268.830009613</v>
      </c>
      <c r="O30" s="5">
        <f t="shared" si="2"/>
        <v>185560385.49347067</v>
      </c>
      <c r="Q30" s="69"/>
      <c r="R30" s="26"/>
      <c r="S30" s="77"/>
      <c r="T30" s="77"/>
      <c r="U30" s="5"/>
    </row>
    <row r="31" spans="1:23" x14ac:dyDescent="0.35">
      <c r="A31">
        <v>2038</v>
      </c>
      <c r="B31">
        <v>21</v>
      </c>
      <c r="C31" s="36">
        <f t="shared" si="10"/>
        <v>157539.99999999997</v>
      </c>
      <c r="D31" s="2">
        <f t="shared" si="4"/>
        <v>827.37854082047727</v>
      </c>
      <c r="E31">
        <f t="shared" si="5"/>
        <v>1227</v>
      </c>
      <c r="F31">
        <f t="shared" ref="F31:G31" si="17">F30</f>
        <v>0</v>
      </c>
      <c r="G31">
        <f t="shared" si="17"/>
        <v>300</v>
      </c>
      <c r="I31" s="5">
        <f t="shared" si="12"/>
        <v>130345215.32085797</v>
      </c>
      <c r="J31" s="39">
        <f t="shared" si="7"/>
        <v>238880773.23447868</v>
      </c>
      <c r="K31" s="5">
        <f t="shared" si="8"/>
        <v>47261999.999999993</v>
      </c>
      <c r="L31" s="5">
        <f t="shared" si="0"/>
        <v>156336344.60237786</v>
      </c>
      <c r="N31" s="5">
        <f t="shared" si="1"/>
        <v>22949052.009671129</v>
      </c>
      <c r="O31" s="5">
        <f t="shared" si="2"/>
        <v>179285396.61204898</v>
      </c>
      <c r="Q31" s="69"/>
      <c r="R31" s="78"/>
      <c r="S31" s="60"/>
      <c r="T31" s="60"/>
      <c r="U31" s="5"/>
    </row>
    <row r="32" spans="1:23" x14ac:dyDescent="0.35">
      <c r="A32">
        <v>2039</v>
      </c>
      <c r="B32">
        <v>22</v>
      </c>
      <c r="C32" s="36">
        <f t="shared" si="10"/>
        <v>157539.99999999997</v>
      </c>
      <c r="D32" s="2">
        <f t="shared" si="4"/>
        <v>827.37854082047727</v>
      </c>
      <c r="E32">
        <f t="shared" si="5"/>
        <v>1227</v>
      </c>
      <c r="F32">
        <f t="shared" ref="F32:G32" si="18">F31</f>
        <v>0</v>
      </c>
      <c r="G32">
        <f t="shared" si="18"/>
        <v>300</v>
      </c>
      <c r="I32" s="5">
        <f t="shared" si="12"/>
        <v>130345215.32085797</v>
      </c>
      <c r="J32" s="39">
        <f t="shared" si="7"/>
        <v>238880773.23447868</v>
      </c>
      <c r="K32" s="5">
        <f t="shared" si="8"/>
        <v>47261999.999999993</v>
      </c>
      <c r="L32" s="5">
        <f t="shared" si="0"/>
        <v>151049608.31147617</v>
      </c>
      <c r="N32" s="5">
        <f t="shared" si="1"/>
        <v>22172997.11079336</v>
      </c>
      <c r="O32" s="5">
        <f t="shared" si="2"/>
        <v>173222605.42226955</v>
      </c>
      <c r="Q32" s="69"/>
      <c r="R32" s="78"/>
      <c r="S32" s="58"/>
      <c r="T32" s="58"/>
      <c r="U32" s="5"/>
    </row>
    <row r="33" spans="1:21" x14ac:dyDescent="0.35">
      <c r="A33">
        <v>2040</v>
      </c>
      <c r="B33">
        <v>23</v>
      </c>
      <c r="C33" s="36">
        <f t="shared" si="10"/>
        <v>157539.99999999997</v>
      </c>
      <c r="D33" s="2">
        <f t="shared" si="4"/>
        <v>827.37854082047727</v>
      </c>
      <c r="E33">
        <f t="shared" si="5"/>
        <v>1227</v>
      </c>
      <c r="F33">
        <f t="shared" ref="F33:G33" si="19">F32</f>
        <v>0</v>
      </c>
      <c r="G33">
        <f t="shared" si="19"/>
        <v>300</v>
      </c>
      <c r="I33" s="5">
        <f t="shared" si="12"/>
        <v>130345215.32085797</v>
      </c>
      <c r="J33" s="39">
        <f t="shared" si="7"/>
        <v>238880773.23447868</v>
      </c>
      <c r="K33" s="5">
        <f t="shared" si="8"/>
        <v>47261999.999999993</v>
      </c>
      <c r="L33" s="5">
        <f t="shared" si="0"/>
        <v>145941650.54248908</v>
      </c>
      <c r="N33" s="5">
        <f>(K33)/(1+$J$5)^$B33</f>
        <v>21423185.614293102</v>
      </c>
      <c r="O33" s="5">
        <f t="shared" si="2"/>
        <v>167364836.15678218</v>
      </c>
      <c r="Q33" s="69"/>
      <c r="R33" s="67"/>
      <c r="S33" s="67"/>
      <c r="T33" s="67"/>
      <c r="U33" s="5"/>
    </row>
    <row r="34" spans="1:21" x14ac:dyDescent="0.35">
      <c r="A34">
        <v>2041</v>
      </c>
      <c r="B34">
        <v>24</v>
      </c>
      <c r="C34" s="36">
        <f t="shared" si="10"/>
        <v>157539.99999999997</v>
      </c>
      <c r="D34" s="2">
        <f t="shared" si="4"/>
        <v>827.37854082047727</v>
      </c>
      <c r="E34">
        <f t="shared" si="5"/>
        <v>1227</v>
      </c>
      <c r="F34">
        <f t="shared" ref="F34:G34" si="20">F33</f>
        <v>0</v>
      </c>
      <c r="G34">
        <f t="shared" si="20"/>
        <v>300</v>
      </c>
      <c r="I34" s="5">
        <f t="shared" si="12"/>
        <v>130345215.32085797</v>
      </c>
      <c r="J34" s="39">
        <f t="shared" si="7"/>
        <v>238880773.23447868</v>
      </c>
      <c r="K34" s="5">
        <f t="shared" si="8"/>
        <v>47261999.999999993</v>
      </c>
      <c r="L34" s="5">
        <f t="shared" si="0"/>
        <v>141006425.64491701</v>
      </c>
      <c r="N34" s="5">
        <f t="shared" si="1"/>
        <v>20698730.062118944</v>
      </c>
      <c r="O34" s="5">
        <f t="shared" si="2"/>
        <v>161705155.70703596</v>
      </c>
      <c r="Q34" s="68"/>
      <c r="R34" s="26"/>
      <c r="S34" s="77"/>
      <c r="T34" s="77"/>
      <c r="U34" s="5"/>
    </row>
    <row r="35" spans="1:21" x14ac:dyDescent="0.35">
      <c r="A35">
        <v>2042</v>
      </c>
      <c r="B35">
        <v>25</v>
      </c>
      <c r="C35" s="36">
        <f t="shared" si="10"/>
        <v>157539.99999999997</v>
      </c>
      <c r="D35" s="2">
        <f t="shared" si="4"/>
        <v>827.37854082047727</v>
      </c>
      <c r="E35">
        <f t="shared" si="5"/>
        <v>1227</v>
      </c>
      <c r="F35">
        <f t="shared" ref="F35:G35" si="21">F34</f>
        <v>0</v>
      </c>
      <c r="G35">
        <f t="shared" si="21"/>
        <v>300</v>
      </c>
      <c r="I35" s="5">
        <f t="shared" si="12"/>
        <v>130345215.32085797</v>
      </c>
      <c r="J35" s="39">
        <f t="shared" si="7"/>
        <v>238880773.23447868</v>
      </c>
      <c r="K35" s="5">
        <f t="shared" si="8"/>
        <v>47261999.999999993</v>
      </c>
      <c r="L35" s="5">
        <f t="shared" si="0"/>
        <v>136238092.41054785</v>
      </c>
      <c r="N35" s="5">
        <f t="shared" si="1"/>
        <v>19998773.006878208</v>
      </c>
      <c r="O35" s="5">
        <f t="shared" si="2"/>
        <v>156236865.41742605</v>
      </c>
      <c r="Q35" s="68"/>
      <c r="R35" s="26"/>
      <c r="S35" s="60"/>
      <c r="T35" s="60"/>
      <c r="U35" s="5"/>
    </row>
    <row r="36" spans="1:21" x14ac:dyDescent="0.35">
      <c r="A36">
        <v>2043</v>
      </c>
      <c r="B36">
        <v>26</v>
      </c>
      <c r="C36" s="36">
        <f t="shared" si="10"/>
        <v>157539.99999999997</v>
      </c>
      <c r="D36" s="2">
        <f t="shared" si="4"/>
        <v>827.37854082047727</v>
      </c>
      <c r="E36">
        <f t="shared" si="5"/>
        <v>1227</v>
      </c>
      <c r="F36">
        <f t="shared" ref="F36:G36" si="22">F35</f>
        <v>0</v>
      </c>
      <c r="G36">
        <f t="shared" si="22"/>
        <v>300</v>
      </c>
      <c r="I36" s="5">
        <f t="shared" si="12"/>
        <v>130345215.32085797</v>
      </c>
      <c r="J36" s="39">
        <f t="shared" si="7"/>
        <v>238880773.23447868</v>
      </c>
      <c r="K36" s="5">
        <f t="shared" si="8"/>
        <v>47261999.999999993</v>
      </c>
      <c r="L36" s="5">
        <f t="shared" si="0"/>
        <v>131631007.15994962</v>
      </c>
      <c r="N36" s="5">
        <f t="shared" si="1"/>
        <v>19322485.996983778</v>
      </c>
      <c r="O36" s="5">
        <f t="shared" si="2"/>
        <v>150953493.1569334</v>
      </c>
      <c r="Q36" s="68"/>
      <c r="R36" s="26"/>
      <c r="S36" s="58"/>
      <c r="T36" s="58"/>
      <c r="U36" s="5"/>
    </row>
    <row r="37" spans="1:21" x14ac:dyDescent="0.35">
      <c r="A37">
        <v>2044</v>
      </c>
      <c r="B37">
        <v>27</v>
      </c>
      <c r="C37" s="36">
        <f t="shared" si="10"/>
        <v>157539.99999999997</v>
      </c>
      <c r="D37" s="2">
        <f t="shared" si="4"/>
        <v>827.37854082047727</v>
      </c>
      <c r="E37">
        <f t="shared" si="5"/>
        <v>1227</v>
      </c>
      <c r="F37">
        <f t="shared" ref="F37:G37" si="23">F36</f>
        <v>0</v>
      </c>
      <c r="G37">
        <f t="shared" si="23"/>
        <v>300</v>
      </c>
      <c r="I37" s="5">
        <f t="shared" si="12"/>
        <v>130345215.32085797</v>
      </c>
      <c r="J37" s="39">
        <f t="shared" si="7"/>
        <v>238880773.23447868</v>
      </c>
      <c r="K37" s="5">
        <f t="shared" si="8"/>
        <v>47261999.999999993</v>
      </c>
      <c r="L37" s="5">
        <f>(I37+J37-K37)/(1+$J$5)^B37</f>
        <v>127179717.06275325</v>
      </c>
      <c r="N37" s="5">
        <f t="shared" si="1"/>
        <v>18669068.59611959</v>
      </c>
      <c r="O37" s="5">
        <f t="shared" si="2"/>
        <v>145848785.65887284</v>
      </c>
      <c r="Q37" s="68"/>
      <c r="R37" s="63"/>
      <c r="S37" s="63"/>
      <c r="T37" s="63"/>
      <c r="U37" s="5"/>
    </row>
    <row r="38" spans="1:21" x14ac:dyDescent="0.35">
      <c r="A38">
        <v>2045</v>
      </c>
      <c r="B38">
        <v>28</v>
      </c>
      <c r="C38" s="36">
        <f t="shared" si="10"/>
        <v>157539.99999999997</v>
      </c>
      <c r="D38" s="2">
        <f t="shared" si="4"/>
        <v>827.37854082047727</v>
      </c>
      <c r="E38">
        <f t="shared" si="5"/>
        <v>1227</v>
      </c>
      <c r="F38">
        <f t="shared" ref="F38:G38" si="24">F37</f>
        <v>0</v>
      </c>
      <c r="G38">
        <f t="shared" si="24"/>
        <v>300</v>
      </c>
      <c r="I38" s="5">
        <f t="shared" si="12"/>
        <v>130345215.32085797</v>
      </c>
      <c r="J38" s="39">
        <f t="shared" si="7"/>
        <v>238880773.23447868</v>
      </c>
      <c r="K38" s="5">
        <f t="shared" si="8"/>
        <v>47261999.999999993</v>
      </c>
      <c r="L38" s="5">
        <f t="shared" si="0"/>
        <v>122878953.68381956</v>
      </c>
      <c r="N38" s="5">
        <f t="shared" si="1"/>
        <v>18037747.435864341</v>
      </c>
      <c r="O38" s="5">
        <f t="shared" si="2"/>
        <v>140916701.11968389</v>
      </c>
      <c r="Q38" s="69"/>
      <c r="R38" s="71"/>
      <c r="S38" s="71"/>
      <c r="T38" s="71"/>
      <c r="U38" s="5"/>
    </row>
    <row r="39" spans="1:21" x14ac:dyDescent="0.35">
      <c r="A39">
        <v>2046</v>
      </c>
      <c r="B39">
        <v>29</v>
      </c>
      <c r="C39" s="36">
        <f t="shared" si="10"/>
        <v>157539.99999999997</v>
      </c>
      <c r="D39" s="2">
        <f t="shared" si="4"/>
        <v>827.37854082047727</v>
      </c>
      <c r="E39">
        <f t="shared" si="5"/>
        <v>1227</v>
      </c>
      <c r="F39">
        <f t="shared" ref="F39:G39" si="25">F38</f>
        <v>0</v>
      </c>
      <c r="G39">
        <f t="shared" si="25"/>
        <v>300</v>
      </c>
      <c r="I39" s="5">
        <f t="shared" si="12"/>
        <v>130345215.32085797</v>
      </c>
      <c r="J39" s="39">
        <f t="shared" si="7"/>
        <v>238880773.23447868</v>
      </c>
      <c r="K39" s="5">
        <f t="shared" si="8"/>
        <v>47261999.999999993</v>
      </c>
      <c r="L39" s="5">
        <f>(I39+J39-K39)/(1+$J$5)^B39</f>
        <v>118723626.74765179</v>
      </c>
      <c r="N39" s="5">
        <f>(K39)/(1+$J$5)^$B39</f>
        <v>17427775.300352022</v>
      </c>
      <c r="O39" s="5">
        <f>(I39+J39)/(1+$J$5)^$B39</f>
        <v>136151402.04800379</v>
      </c>
      <c r="Q39" s="69"/>
      <c r="R39" s="72"/>
      <c r="S39" s="72"/>
      <c r="T39" s="72"/>
      <c r="U39" s="5"/>
    </row>
    <row r="40" spans="1:21" x14ac:dyDescent="0.35">
      <c r="A40">
        <v>2047</v>
      </c>
      <c r="B40">
        <v>30</v>
      </c>
      <c r="C40" s="36">
        <f t="shared" si="10"/>
        <v>157539.99999999997</v>
      </c>
      <c r="D40" s="2">
        <f t="shared" si="4"/>
        <v>827.37854082047727</v>
      </c>
      <c r="E40">
        <f t="shared" si="5"/>
        <v>1227</v>
      </c>
      <c r="F40">
        <f t="shared" ref="F40:G40" si="26">F39</f>
        <v>0</v>
      </c>
      <c r="G40">
        <f t="shared" si="26"/>
        <v>300</v>
      </c>
      <c r="I40" s="5">
        <f t="shared" si="12"/>
        <v>130345215.32085797</v>
      </c>
      <c r="J40" s="39">
        <f t="shared" si="7"/>
        <v>238880773.23447868</v>
      </c>
      <c r="K40" s="5">
        <f t="shared" si="8"/>
        <v>47261999.999999993</v>
      </c>
      <c r="L40" s="5">
        <f t="shared" si="0"/>
        <v>114708818.11367321</v>
      </c>
      <c r="N40" s="5">
        <f t="shared" si="1"/>
        <v>16838430.241886012</v>
      </c>
      <c r="O40" s="5">
        <f t="shared" si="2"/>
        <v>131547248.35555921</v>
      </c>
      <c r="Q40" s="68"/>
      <c r="R40" s="62"/>
      <c r="S40" s="62"/>
      <c r="T40" s="62"/>
      <c r="U40" s="5"/>
    </row>
    <row r="41" spans="1:21" x14ac:dyDescent="0.35">
      <c r="A41">
        <v>2048</v>
      </c>
      <c r="B41">
        <v>31</v>
      </c>
      <c r="C41" s="36">
        <f t="shared" si="10"/>
        <v>157539.99999999997</v>
      </c>
      <c r="D41" s="2">
        <f t="shared" si="4"/>
        <v>827.37854082047727</v>
      </c>
      <c r="E41">
        <f t="shared" si="5"/>
        <v>1227</v>
      </c>
      <c r="F41">
        <f t="shared" ref="F41:G41" si="27">F40</f>
        <v>0</v>
      </c>
      <c r="G41">
        <f t="shared" si="27"/>
        <v>300</v>
      </c>
      <c r="I41" s="5">
        <f t="shared" si="12"/>
        <v>130345215.32085797</v>
      </c>
      <c r="J41" s="39">
        <f t="shared" si="7"/>
        <v>238880773.23447868</v>
      </c>
      <c r="K41" s="5">
        <f t="shared" si="8"/>
        <v>47261999.999999993</v>
      </c>
      <c r="L41" s="5">
        <f>(I41+J41-K41)/(1+$J$6)^B41</f>
        <v>128781456.626922</v>
      </c>
      <c r="N41" s="5">
        <f>(K41)/(1+$J$6)^$B41</f>
        <v>18904192.454602703</v>
      </c>
      <c r="O41" s="5">
        <f>(I41+J41)/(1+$J$6)^$B41</f>
        <v>147685649.0815247</v>
      </c>
      <c r="Q41" s="68"/>
      <c r="R41" s="62"/>
      <c r="S41" s="62"/>
      <c r="T41" s="62"/>
      <c r="U41" s="5"/>
    </row>
    <row r="42" spans="1:21" x14ac:dyDescent="0.35">
      <c r="A42">
        <v>2049</v>
      </c>
      <c r="B42">
        <v>32</v>
      </c>
      <c r="C42" s="36">
        <f t="shared" si="10"/>
        <v>157539.99999999997</v>
      </c>
      <c r="D42" s="2">
        <f t="shared" si="4"/>
        <v>827.37854082047727</v>
      </c>
      <c r="E42">
        <f t="shared" si="5"/>
        <v>1227</v>
      </c>
      <c r="F42">
        <f t="shared" ref="F42:G42" si="28">F41</f>
        <v>0</v>
      </c>
      <c r="G42">
        <f t="shared" si="28"/>
        <v>300</v>
      </c>
      <c r="I42" s="5">
        <f t="shared" si="12"/>
        <v>130345215.32085797</v>
      </c>
      <c r="J42" s="39">
        <f t="shared" si="7"/>
        <v>238880773.23447868</v>
      </c>
      <c r="K42" s="5">
        <f t="shared" si="8"/>
        <v>47261999.999999993</v>
      </c>
      <c r="L42" s="5">
        <f>(I42+J42-K42)/(1+$J$6)^B42</f>
        <v>125030540.41448741</v>
      </c>
      <c r="N42" s="5">
        <f>(K42)/(1+$J$6)^$B42</f>
        <v>18353584.90738127</v>
      </c>
      <c r="O42" s="5">
        <f>(I42+J42)/(1+$J$6)^$B42</f>
        <v>143384125.32186869</v>
      </c>
      <c r="Q42" s="68"/>
      <c r="R42" s="63"/>
      <c r="S42" s="63"/>
      <c r="T42" s="63"/>
      <c r="U42" s="5"/>
    </row>
    <row r="43" spans="1:21" x14ac:dyDescent="0.35">
      <c r="A43">
        <v>2050</v>
      </c>
      <c r="B43">
        <v>33</v>
      </c>
      <c r="C43" s="36">
        <f t="shared" si="10"/>
        <v>157539.99999999997</v>
      </c>
      <c r="D43" s="2">
        <f t="shared" si="4"/>
        <v>827.37854082047727</v>
      </c>
      <c r="E43">
        <f t="shared" si="5"/>
        <v>1227</v>
      </c>
      <c r="F43">
        <f t="shared" ref="F43:G43" si="29">F42</f>
        <v>0</v>
      </c>
      <c r="G43">
        <f t="shared" si="29"/>
        <v>300</v>
      </c>
      <c r="I43" s="5">
        <f t="shared" si="12"/>
        <v>130345215.32085797</v>
      </c>
      <c r="J43" s="39">
        <f t="shared" si="7"/>
        <v>238880773.23447868</v>
      </c>
      <c r="K43" s="5">
        <f t="shared" si="8"/>
        <v>47261999.999999993</v>
      </c>
      <c r="L43" s="5">
        <f>(I43+J43-K43)/(1+$J$6)^B43</f>
        <v>121388874.18882272</v>
      </c>
      <c r="N43" s="5">
        <f>(K43)/(1+$J$6)^$B43</f>
        <v>17819014.473185699</v>
      </c>
      <c r="O43" s="5">
        <f>(I43+J43)/(1+$J$6)^$B43</f>
        <v>139207888.66200843</v>
      </c>
      <c r="Q43" s="68"/>
      <c r="R43" s="63"/>
      <c r="S43" s="63"/>
      <c r="T43" s="63"/>
      <c r="U43" s="5"/>
    </row>
    <row r="44" spans="1:21" ht="15" thickBot="1" x14ac:dyDescent="0.4">
      <c r="Q44" s="69"/>
      <c r="R44" s="69"/>
      <c r="S44" s="69"/>
      <c r="T44" s="69"/>
      <c r="U44" s="69"/>
    </row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6079029429.6556664</v>
      </c>
      <c r="N45" s="5">
        <f>SUM(N10:N43)</f>
        <v>921419455.83402157</v>
      </c>
      <c r="O45" s="5">
        <f>SUM(O10:O43)</f>
        <v>7000448885.4896898</v>
      </c>
      <c r="Q45" s="69"/>
      <c r="R45" s="69"/>
      <c r="S45" s="69"/>
      <c r="T45" s="69"/>
      <c r="U45" s="86"/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7.597461548229675</v>
      </c>
    </row>
    <row r="49" spans="3:15" x14ac:dyDescent="0.35">
      <c r="C49" s="36"/>
      <c r="D49" s="2"/>
      <c r="I49" s="5"/>
      <c r="J49" s="39"/>
      <c r="K49" s="5"/>
      <c r="L49" s="5"/>
      <c r="N49" s="5"/>
      <c r="O49" s="5"/>
    </row>
    <row r="50" spans="3:15" x14ac:dyDescent="0.35">
      <c r="C50" s="142" t="s">
        <v>166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5"/>
    </row>
    <row r="51" spans="3:15" x14ac:dyDescent="0.35"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5"/>
    </row>
    <row r="52" spans="3:15" x14ac:dyDescent="0.35">
      <c r="I52" s="65"/>
      <c r="J52" s="65"/>
      <c r="K52" s="65"/>
    </row>
  </sheetData>
  <mergeCells count="18">
    <mergeCell ref="T24:U24"/>
    <mergeCell ref="V17:W17"/>
    <mergeCell ref="V18:W18"/>
    <mergeCell ref="V23:W23"/>
    <mergeCell ref="V24:W24"/>
    <mergeCell ref="T9:U9"/>
    <mergeCell ref="V9:W9"/>
    <mergeCell ref="T17:U17"/>
    <mergeCell ref="T18:U18"/>
    <mergeCell ref="T23:U23"/>
    <mergeCell ref="C50:N51"/>
    <mergeCell ref="I8:J8"/>
    <mergeCell ref="I46:J46"/>
    <mergeCell ref="R18:S18"/>
    <mergeCell ref="R17:S17"/>
    <mergeCell ref="R23:S23"/>
    <mergeCell ref="R24:S24"/>
    <mergeCell ref="R9:S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80" zoomScaleNormal="80" workbookViewId="0">
      <selection activeCell="B3" sqref="B3"/>
    </sheetView>
  </sheetViews>
  <sheetFormatPr defaultRowHeight="14.5" x14ac:dyDescent="0.35"/>
  <cols>
    <col min="3" max="3" width="11" bestFit="1" customWidth="1"/>
    <col min="4" max="4" width="10.26953125" customWidth="1"/>
    <col min="8" max="8" width="10" customWidth="1"/>
    <col min="9" max="10" width="17.7265625" bestFit="1" customWidth="1"/>
    <col min="11" max="11" width="17.81640625" customWidth="1"/>
    <col min="12" max="12" width="24.7265625" customWidth="1"/>
    <col min="14" max="14" width="18.26953125" customWidth="1"/>
    <col min="15" max="15" width="22.81640625" customWidth="1"/>
    <col min="17" max="17" width="22.26953125" customWidth="1"/>
    <col min="18" max="18" width="32" bestFit="1" customWidth="1"/>
    <col min="19" max="19" width="26.7265625" bestFit="1" customWidth="1"/>
    <col min="20" max="20" width="31.54296875" bestFit="1" customWidth="1"/>
    <col min="21" max="21" width="26.7265625" bestFit="1" customWidth="1"/>
    <col min="22" max="22" width="31.54296875" bestFit="1" customWidth="1"/>
    <col min="23" max="23" width="30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74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Q9" s="38"/>
      <c r="R9" s="153" t="s">
        <v>88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f>'BCA - WTP per ha &amp; per year'!C17/11</f>
        <v>28643.636363636364</v>
      </c>
      <c r="D10" s="87">
        <f>V12</f>
        <v>876.39339268018489</v>
      </c>
      <c r="E10" s="88">
        <v>1227</v>
      </c>
      <c r="F10">
        <v>0</v>
      </c>
      <c r="G10" s="88">
        <v>300</v>
      </c>
      <c r="I10" s="5">
        <f>D10*C10</f>
        <v>25103093.651424788</v>
      </c>
      <c r="J10" s="85">
        <f>$W$12</f>
        <v>312095223.79971373</v>
      </c>
      <c r="K10" s="5">
        <f>(G10*C10)+(E10*C10)</f>
        <v>43738832.727272734</v>
      </c>
      <c r="L10" s="5">
        <f>(I10+J10-K10)/(1+$J$5)^B10</f>
        <v>293459484.72386575</v>
      </c>
      <c r="N10" s="5">
        <f>(K10)/(1+$J$5)^$B10</f>
        <v>43738832.727272734</v>
      </c>
      <c r="O10" s="5">
        <f>(I10+J10)/(1+$J$5)^$B10</f>
        <v>337198317.4511385</v>
      </c>
      <c r="R10" s="64" t="s">
        <v>71</v>
      </c>
      <c r="S10" s="28" t="s">
        <v>69</v>
      </c>
      <c r="T10" s="76" t="s">
        <v>71</v>
      </c>
      <c r="U10" s="28" t="s">
        <v>69</v>
      </c>
      <c r="V10" s="76" t="s">
        <v>71</v>
      </c>
      <c r="W10" s="28" t="s">
        <v>69</v>
      </c>
    </row>
    <row r="11" spans="1:23" ht="15" thickBot="1" x14ac:dyDescent="0.4">
      <c r="A11">
        <v>2018</v>
      </c>
      <c r="B11">
        <v>1</v>
      </c>
      <c r="C11" s="36">
        <f>C10+$C$10</f>
        <v>57287.272727272728</v>
      </c>
      <c r="D11" s="2">
        <f>$D$10</f>
        <v>876.39339268018489</v>
      </c>
      <c r="E11">
        <f>E10</f>
        <v>1227</v>
      </c>
      <c r="F11">
        <v>0</v>
      </c>
      <c r="G11">
        <f>G10</f>
        <v>300</v>
      </c>
      <c r="I11" s="5">
        <f>D11*C11</f>
        <v>50206187.302849576</v>
      </c>
      <c r="J11" s="39">
        <f>$J$10</f>
        <v>312095223.79971373</v>
      </c>
      <c r="K11" s="5">
        <f t="shared" ref="K11:K43" si="0">(G11*C11)+(E11*(C11-C10))</f>
        <v>52331923.63636364</v>
      </c>
      <c r="L11" s="5">
        <f t="shared" ref="L11:L40" si="1">(I11+J11-K11)/(1+$J$5)^B11</f>
        <v>299487427.50357461</v>
      </c>
      <c r="N11" s="5">
        <f t="shared" ref="N11:N39" si="2">(K11)/(1+$J$5)^$B11</f>
        <v>50562245.059288546</v>
      </c>
      <c r="O11" s="5">
        <f t="shared" ref="O11:O39" si="3">(I11+J11)/(1+$J$5)^$B11</f>
        <v>350049672.56286311</v>
      </c>
      <c r="Q11" t="s">
        <v>43</v>
      </c>
      <c r="R11" s="44">
        <f>'BCA - WTP per ha &amp; per year'!C19</f>
        <v>621.99540270156876</v>
      </c>
      <c r="S11" s="44">
        <f>'BCA - WTP per ha &amp; per year'!$B$24</f>
        <v>209756507.67057517</v>
      </c>
      <c r="T11" s="44">
        <f>'BCA - WTP per ha &amp; per year'!$C$35</f>
        <v>523.35170263129999</v>
      </c>
      <c r="U11" s="44">
        <f>'BCA - WTP per ha &amp; per year'!$B$38</f>
        <v>180632242.10667169</v>
      </c>
      <c r="V11" s="44">
        <f>'BCA - WTP per ha &amp; per year'!$C$60</f>
        <v>720.63910277183743</v>
      </c>
      <c r="W11" s="44">
        <f>'BCA - WTP per ha &amp; per year'!$B$63</f>
        <v>238880773.23447868</v>
      </c>
    </row>
    <row r="12" spans="1:23" ht="15" thickBot="1" x14ac:dyDescent="0.4">
      <c r="A12">
        <v>2019</v>
      </c>
      <c r="B12">
        <v>2</v>
      </c>
      <c r="C12" s="36">
        <f t="shared" ref="C12:C20" si="4">C11+$C$10</f>
        <v>85930.909090909088</v>
      </c>
      <c r="D12" s="2">
        <f t="shared" ref="D12:D43" si="5">$D$10</f>
        <v>876.39339268018489</v>
      </c>
      <c r="E12">
        <f t="shared" ref="E12:G27" si="6">E11</f>
        <v>1227</v>
      </c>
      <c r="F12">
        <f t="shared" si="6"/>
        <v>0</v>
      </c>
      <c r="G12">
        <f t="shared" si="6"/>
        <v>300</v>
      </c>
      <c r="I12" s="5">
        <f>D12*C12</f>
        <v>75309280.954274356</v>
      </c>
      <c r="J12" s="39">
        <f t="shared" ref="J12:J43" si="7">$J$10</f>
        <v>312095223.79971373</v>
      </c>
      <c r="K12" s="5">
        <f t="shared" si="0"/>
        <v>60925014.545454539</v>
      </c>
      <c r="L12" s="5">
        <f t="shared" si="1"/>
        <v>304772097.55983436</v>
      </c>
      <c r="N12" s="5">
        <f t="shared" si="2"/>
        <v>56874152.998160563</v>
      </c>
      <c r="O12" s="5">
        <f t="shared" si="3"/>
        <v>361646250.55799496</v>
      </c>
      <c r="Q12" t="s">
        <v>44</v>
      </c>
      <c r="R12" s="44">
        <f>'BCA - WTP per ha &amp; per year'!F19</f>
        <v>731.69800259096951</v>
      </c>
      <c r="S12" s="82">
        <f>'BCA - WTP per ha &amp; per year'!$C$24</f>
        <v>271816766.49113196</v>
      </c>
      <c r="T12" s="44">
        <f>'BCA - WTP per ha &amp; per year'!$F$35</f>
        <v>587.00261250175402</v>
      </c>
      <c r="U12" s="82">
        <f>'BCA - WTP per ha &amp; per year'!$C$38</f>
        <v>231538309.18255019</v>
      </c>
      <c r="V12" s="44">
        <f>'BCA - WTP per ha &amp; per year'!$F$60</f>
        <v>876.39339268018489</v>
      </c>
      <c r="W12" s="82">
        <f>'BCA - WTP per ha &amp; per year'!$C$63</f>
        <v>312095223.79971373</v>
      </c>
    </row>
    <row r="13" spans="1:23" x14ac:dyDescent="0.35">
      <c r="A13">
        <v>2020</v>
      </c>
      <c r="B13">
        <v>3</v>
      </c>
      <c r="C13" s="36">
        <f t="shared" si="4"/>
        <v>114574.54545454546</v>
      </c>
      <c r="D13" s="2">
        <f t="shared" si="5"/>
        <v>876.39339268018489</v>
      </c>
      <c r="E13">
        <f t="shared" si="6"/>
        <v>1227</v>
      </c>
      <c r="F13">
        <f t="shared" si="6"/>
        <v>0</v>
      </c>
      <c r="G13">
        <f t="shared" si="6"/>
        <v>300</v>
      </c>
      <c r="I13" s="5">
        <f t="shared" ref="I13:I43" si="8">D13*C13</f>
        <v>100412374.60569915</v>
      </c>
      <c r="J13" s="39">
        <f t="shared" si="7"/>
        <v>312095223.79971373</v>
      </c>
      <c r="K13" s="5">
        <f t="shared" si="0"/>
        <v>69518105.454545468</v>
      </c>
      <c r="L13" s="5">
        <f t="shared" si="1"/>
        <v>309356871.28780842</v>
      </c>
      <c r="N13" s="5">
        <f t="shared" si="2"/>
        <v>62701348.126587644</v>
      </c>
      <c r="O13" s="5">
        <f t="shared" si="3"/>
        <v>372058219.41439611</v>
      </c>
      <c r="S13" s="26"/>
      <c r="T13" s="2"/>
    </row>
    <row r="14" spans="1:23" x14ac:dyDescent="0.35">
      <c r="A14">
        <v>2021</v>
      </c>
      <c r="B14">
        <v>4</v>
      </c>
      <c r="C14" s="36">
        <f t="shared" si="4"/>
        <v>143218.18181818182</v>
      </c>
      <c r="D14" s="2">
        <f t="shared" si="5"/>
        <v>876.39339268018489</v>
      </c>
      <c r="E14">
        <f t="shared" si="6"/>
        <v>1227</v>
      </c>
      <c r="F14">
        <f t="shared" si="6"/>
        <v>0</v>
      </c>
      <c r="G14">
        <f t="shared" si="6"/>
        <v>300</v>
      </c>
      <c r="I14" s="5">
        <f t="shared" si="8"/>
        <v>125515468.25712393</v>
      </c>
      <c r="J14" s="39">
        <f t="shared" si="7"/>
        <v>312095223.79971373</v>
      </c>
      <c r="K14" s="5">
        <f>(G14*C14)+(E14*(C14-C13))</f>
        <v>78111196.363636374</v>
      </c>
      <c r="L14" s="5">
        <f t="shared" si="1"/>
        <v>313283041.38339669</v>
      </c>
      <c r="N14" s="5">
        <f t="shared" si="2"/>
        <v>68069394.967327908</v>
      </c>
      <c r="O14" s="5">
        <f t="shared" si="3"/>
        <v>381352436.35072458</v>
      </c>
      <c r="T14" s="2"/>
    </row>
    <row r="15" spans="1:23" x14ac:dyDescent="0.35">
      <c r="A15">
        <v>2022</v>
      </c>
      <c r="B15">
        <v>5</v>
      </c>
      <c r="C15" s="36">
        <f t="shared" si="4"/>
        <v>171861.81818181818</v>
      </c>
      <c r="D15" s="2">
        <f t="shared" si="5"/>
        <v>876.39339268018489</v>
      </c>
      <c r="E15">
        <f t="shared" si="6"/>
        <v>1227</v>
      </c>
      <c r="F15">
        <f t="shared" si="6"/>
        <v>0</v>
      </c>
      <c r="G15">
        <f t="shared" si="6"/>
        <v>300</v>
      </c>
      <c r="I15" s="5">
        <f t="shared" si="8"/>
        <v>150618561.90854871</v>
      </c>
      <c r="J15" s="39">
        <f t="shared" si="7"/>
        <v>312095223.79971373</v>
      </c>
      <c r="K15" s="5">
        <f t="shared" si="0"/>
        <v>86704287.272727251</v>
      </c>
      <c r="L15" s="5">
        <f t="shared" si="1"/>
        <v>316589908.16665286</v>
      </c>
      <c r="N15" s="5">
        <f t="shared" si="2"/>
        <v>73002683.335229397</v>
      </c>
      <c r="O15" s="5">
        <f t="shared" si="3"/>
        <v>389592591.50188226</v>
      </c>
      <c r="T15" s="2"/>
    </row>
    <row r="16" spans="1:23" x14ac:dyDescent="0.35">
      <c r="A16">
        <v>2023</v>
      </c>
      <c r="B16">
        <v>6</v>
      </c>
      <c r="C16" s="36">
        <f t="shared" si="4"/>
        <v>200505.45454545453</v>
      </c>
      <c r="D16" s="2">
        <f t="shared" si="5"/>
        <v>876.39339268018489</v>
      </c>
      <c r="E16">
        <f t="shared" si="6"/>
        <v>1227</v>
      </c>
      <c r="F16">
        <f t="shared" si="6"/>
        <v>0</v>
      </c>
      <c r="G16">
        <f t="shared" si="6"/>
        <v>300</v>
      </c>
      <c r="I16" s="5">
        <f t="shared" si="8"/>
        <v>175721655.55997351</v>
      </c>
      <c r="J16" s="39">
        <f t="shared" si="7"/>
        <v>312095223.79971373</v>
      </c>
      <c r="K16" s="5">
        <f t="shared" si="0"/>
        <v>95297378.181818157</v>
      </c>
      <c r="L16" s="5">
        <f t="shared" si="1"/>
        <v>319314867.11155421</v>
      </c>
      <c r="N16" s="5">
        <f t="shared" si="2"/>
        <v>77524478.551748648</v>
      </c>
      <c r="O16" s="5">
        <f t="shared" si="3"/>
        <v>396839345.66330284</v>
      </c>
      <c r="T16" s="2"/>
    </row>
    <row r="17" spans="1:23" x14ac:dyDescent="0.35">
      <c r="A17">
        <v>2024</v>
      </c>
      <c r="B17">
        <v>7</v>
      </c>
      <c r="C17" s="36">
        <f t="shared" si="4"/>
        <v>229149.09090909088</v>
      </c>
      <c r="D17" s="2">
        <f t="shared" si="5"/>
        <v>876.39339268018489</v>
      </c>
      <c r="E17">
        <f t="shared" si="6"/>
        <v>1227</v>
      </c>
      <c r="F17">
        <f t="shared" si="6"/>
        <v>0</v>
      </c>
      <c r="G17">
        <f t="shared" si="6"/>
        <v>300</v>
      </c>
      <c r="I17" s="5">
        <f>D17*C17</f>
        <v>200824749.21139827</v>
      </c>
      <c r="J17" s="39">
        <f t="shared" si="7"/>
        <v>312095223.79971373</v>
      </c>
      <c r="K17" s="5">
        <f t="shared" si="0"/>
        <v>103890469.09090906</v>
      </c>
      <c r="L17" s="5">
        <f t="shared" si="1"/>
        <v>321493492.73426628</v>
      </c>
      <c r="N17" s="5">
        <f t="shared" si="2"/>
        <v>81656969.606656238</v>
      </c>
      <c r="O17" s="5">
        <f t="shared" si="3"/>
        <v>403150462.34092247</v>
      </c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f t="shared" si="4"/>
        <v>257792.72727272724</v>
      </c>
      <c r="D18" s="2">
        <f t="shared" si="5"/>
        <v>876.39339268018489</v>
      </c>
      <c r="E18">
        <f t="shared" si="6"/>
        <v>1227</v>
      </c>
      <c r="F18">
        <f t="shared" si="6"/>
        <v>0</v>
      </c>
      <c r="G18">
        <f t="shared" si="6"/>
        <v>300</v>
      </c>
      <c r="I18" s="5">
        <f>D18*C18</f>
        <v>225927842.86282304</v>
      </c>
      <c r="J18" s="39">
        <f t="shared" si="7"/>
        <v>312095223.79971373</v>
      </c>
      <c r="K18" s="5">
        <f t="shared" si="0"/>
        <v>112483559.99999997</v>
      </c>
      <c r="L18" s="5">
        <f t="shared" si="1"/>
        <v>323159618.98609257</v>
      </c>
      <c r="N18" s="5">
        <f t="shared" si="2"/>
        <v>85421315.348343968</v>
      </c>
      <c r="O18" s="5">
        <f t="shared" si="3"/>
        <v>408580934.33443654</v>
      </c>
      <c r="R18" s="150" t="s">
        <v>72</v>
      </c>
      <c r="S18" s="150"/>
      <c r="T18" s="150" t="s">
        <v>96</v>
      </c>
      <c r="U18" s="150"/>
      <c r="V18" s="150" t="s">
        <v>98</v>
      </c>
      <c r="W18" s="150"/>
    </row>
    <row r="19" spans="1:23" x14ac:dyDescent="0.35">
      <c r="A19">
        <v>2026</v>
      </c>
      <c r="B19">
        <v>9</v>
      </c>
      <c r="C19" s="36">
        <f t="shared" si="4"/>
        <v>286436.36363636359</v>
      </c>
      <c r="D19" s="2">
        <f t="shared" si="5"/>
        <v>876.39339268018489</v>
      </c>
      <c r="E19">
        <f t="shared" si="6"/>
        <v>1227</v>
      </c>
      <c r="F19">
        <f t="shared" si="6"/>
        <v>0</v>
      </c>
      <c r="G19">
        <f t="shared" si="6"/>
        <v>300</v>
      </c>
      <c r="I19" s="5">
        <f>D19*C19</f>
        <v>251030936.51424783</v>
      </c>
      <c r="J19" s="39">
        <f t="shared" si="7"/>
        <v>312095223.79971373</v>
      </c>
      <c r="K19" s="5">
        <f t="shared" si="0"/>
        <v>121076650.90909088</v>
      </c>
      <c r="L19" s="5">
        <f t="shared" si="1"/>
        <v>324345416.2915777</v>
      </c>
      <c r="N19" s="5">
        <f t="shared" si="2"/>
        <v>88837688.780989781</v>
      </c>
      <c r="O19" s="5">
        <f t="shared" si="3"/>
        <v>413183105.07256752</v>
      </c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f t="shared" si="4"/>
        <v>315079.99999999994</v>
      </c>
      <c r="D20" s="2">
        <f t="shared" si="5"/>
        <v>876.39339268018489</v>
      </c>
      <c r="E20">
        <f t="shared" si="6"/>
        <v>1227</v>
      </c>
      <c r="F20">
        <f t="shared" si="6"/>
        <v>0</v>
      </c>
      <c r="G20">
        <f t="shared" si="6"/>
        <v>300</v>
      </c>
      <c r="I20" s="5">
        <f t="shared" si="8"/>
        <v>276134030.1656726</v>
      </c>
      <c r="J20" s="39">
        <f t="shared" si="7"/>
        <v>312095223.79971373</v>
      </c>
      <c r="K20" s="5">
        <f t="shared" si="0"/>
        <v>129669741.81818178</v>
      </c>
      <c r="L20" s="5">
        <f t="shared" si="1"/>
        <v>325081465.36672819</v>
      </c>
      <c r="N20" s="5">
        <f t="shared" si="2"/>
        <v>91925319.543797866</v>
      </c>
      <c r="O20" s="5">
        <f t="shared" si="3"/>
        <v>417006784.91052604</v>
      </c>
      <c r="R20" s="32" t="s">
        <v>50</v>
      </c>
      <c r="S20" s="37">
        <v>4.0448209700797291</v>
      </c>
      <c r="T20" s="32" t="s">
        <v>50</v>
      </c>
      <c r="U20" s="37">
        <v>3.4495430929796989</v>
      </c>
      <c r="V20" s="32" t="s">
        <v>50</v>
      </c>
      <c r="W20" s="37">
        <v>4.640098847179762</v>
      </c>
    </row>
    <row r="21" spans="1:23" x14ac:dyDescent="0.35">
      <c r="A21">
        <v>2028</v>
      </c>
      <c r="B21">
        <v>11</v>
      </c>
      <c r="C21" s="36">
        <f>C20</f>
        <v>315079.99999999994</v>
      </c>
      <c r="D21" s="2">
        <f t="shared" si="5"/>
        <v>876.39339268018489</v>
      </c>
      <c r="E21">
        <f t="shared" si="6"/>
        <v>1227</v>
      </c>
      <c r="F21">
        <f t="shared" si="6"/>
        <v>0</v>
      </c>
      <c r="G21">
        <f t="shared" si="6"/>
        <v>300</v>
      </c>
      <c r="I21" s="5">
        <f>D21*C21</f>
        <v>276134030.1656726</v>
      </c>
      <c r="J21" s="39">
        <f t="shared" si="7"/>
        <v>312095223.79971373</v>
      </c>
      <c r="K21" s="5">
        <f t="shared" si="0"/>
        <v>94523999.999999985</v>
      </c>
      <c r="L21" s="5">
        <f t="shared" si="1"/>
        <v>338161297.54920143</v>
      </c>
      <c r="N21" s="5">
        <f t="shared" si="2"/>
        <v>64743808.644543469</v>
      </c>
      <c r="O21" s="5">
        <f t="shared" si="3"/>
        <v>402905106.19374496</v>
      </c>
      <c r="R21" s="32" t="s">
        <v>51</v>
      </c>
      <c r="S21" s="58">
        <v>5611114562.7257614</v>
      </c>
      <c r="T21" s="32" t="s">
        <v>51</v>
      </c>
      <c r="U21" s="58">
        <v>4514113327.5506783</v>
      </c>
      <c r="V21" s="32" t="s">
        <v>51</v>
      </c>
      <c r="W21" s="58">
        <v>6708115797.9008484</v>
      </c>
    </row>
    <row r="22" spans="1:23" x14ac:dyDescent="0.35">
      <c r="A22">
        <v>2029</v>
      </c>
      <c r="B22">
        <v>12</v>
      </c>
      <c r="C22" s="36">
        <f t="shared" ref="C22:C43" si="9">C21</f>
        <v>315079.99999999994</v>
      </c>
      <c r="D22" s="2">
        <f t="shared" si="5"/>
        <v>876.39339268018489</v>
      </c>
      <c r="E22">
        <f t="shared" si="6"/>
        <v>1227</v>
      </c>
      <c r="F22">
        <f t="shared" si="6"/>
        <v>0</v>
      </c>
      <c r="G22">
        <f t="shared" si="6"/>
        <v>300</v>
      </c>
      <c r="I22" s="5">
        <f>D22*C22</f>
        <v>276134030.1656726</v>
      </c>
      <c r="J22" s="39">
        <f t="shared" si="7"/>
        <v>312095223.79971373</v>
      </c>
      <c r="K22" s="5">
        <f t="shared" si="0"/>
        <v>94523999.999999985</v>
      </c>
      <c r="L22" s="5">
        <f t="shared" si="1"/>
        <v>326725891.3518855</v>
      </c>
      <c r="N22" s="5">
        <f t="shared" si="2"/>
        <v>62554404.487481616</v>
      </c>
      <c r="O22" s="5">
        <f t="shared" si="3"/>
        <v>389280295.83936709</v>
      </c>
      <c r="S22" s="26"/>
      <c r="U22" s="26"/>
      <c r="W22" s="26"/>
    </row>
    <row r="23" spans="1:23" x14ac:dyDescent="0.35">
      <c r="A23">
        <v>2030</v>
      </c>
      <c r="B23">
        <v>13</v>
      </c>
      <c r="C23" s="36">
        <f t="shared" si="9"/>
        <v>315079.99999999994</v>
      </c>
      <c r="D23" s="2">
        <f t="shared" si="5"/>
        <v>876.39339268018489</v>
      </c>
      <c r="E23">
        <f t="shared" si="6"/>
        <v>1227</v>
      </c>
      <c r="F23">
        <f t="shared" si="6"/>
        <v>0</v>
      </c>
      <c r="G23">
        <f t="shared" si="6"/>
        <v>300</v>
      </c>
      <c r="I23" s="5">
        <f>D23*C23</f>
        <v>276134030.1656726</v>
      </c>
      <c r="J23" s="39">
        <f t="shared" si="7"/>
        <v>312095223.79971373</v>
      </c>
      <c r="K23" s="5">
        <f t="shared" si="0"/>
        <v>94523999.999999985</v>
      </c>
      <c r="L23" s="5">
        <f t="shared" si="1"/>
        <v>315677189.71196669</v>
      </c>
      <c r="N23" s="5">
        <f t="shared" si="2"/>
        <v>60439038.152156167</v>
      </c>
      <c r="O23" s="5">
        <f t="shared" si="3"/>
        <v>376116227.86412293</v>
      </c>
      <c r="R23" s="152" t="s">
        <v>13</v>
      </c>
      <c r="S23" s="152"/>
      <c r="T23" s="152" t="s">
        <v>13</v>
      </c>
      <c r="U23" s="152"/>
      <c r="V23" s="152" t="s">
        <v>13</v>
      </c>
      <c r="W23" s="152"/>
    </row>
    <row r="24" spans="1:23" x14ac:dyDescent="0.35">
      <c r="A24">
        <v>2031</v>
      </c>
      <c r="B24">
        <v>14</v>
      </c>
      <c r="C24" s="36">
        <f t="shared" si="9"/>
        <v>315079.99999999994</v>
      </c>
      <c r="D24" s="2">
        <f t="shared" si="5"/>
        <v>876.39339268018489</v>
      </c>
      <c r="E24">
        <f t="shared" si="6"/>
        <v>1227</v>
      </c>
      <c r="F24">
        <f t="shared" si="6"/>
        <v>0</v>
      </c>
      <c r="G24">
        <f t="shared" si="6"/>
        <v>300</v>
      </c>
      <c r="I24" s="5">
        <f t="shared" si="8"/>
        <v>276134030.1656726</v>
      </c>
      <c r="J24" s="39">
        <f t="shared" si="7"/>
        <v>312095223.79971373</v>
      </c>
      <c r="K24" s="5">
        <f t="shared" si="0"/>
        <v>94523999.999999985</v>
      </c>
      <c r="L24" s="5">
        <f>(I24+J24-K24)/(1+$J$5)^B24</f>
        <v>305002115.66373593</v>
      </c>
      <c r="N24" s="5">
        <f t="shared" si="2"/>
        <v>58395205.944112234</v>
      </c>
      <c r="O24" s="5">
        <f t="shared" si="3"/>
        <v>363397321.60784817</v>
      </c>
      <c r="R24" s="150" t="s">
        <v>73</v>
      </c>
      <c r="S24" s="150"/>
      <c r="T24" s="150" t="s">
        <v>97</v>
      </c>
      <c r="U24" s="150"/>
      <c r="V24" s="150" t="s">
        <v>99</v>
      </c>
      <c r="W24" s="150"/>
    </row>
    <row r="25" spans="1:23" x14ac:dyDescent="0.35">
      <c r="A25">
        <v>2032</v>
      </c>
      <c r="B25">
        <v>15</v>
      </c>
      <c r="C25" s="36">
        <f t="shared" si="9"/>
        <v>315079.99999999994</v>
      </c>
      <c r="D25" s="2">
        <f t="shared" si="5"/>
        <v>876.39339268018489</v>
      </c>
      <c r="E25">
        <f t="shared" si="6"/>
        <v>1227</v>
      </c>
      <c r="F25">
        <f t="shared" si="6"/>
        <v>0</v>
      </c>
      <c r="G25">
        <f t="shared" si="6"/>
        <v>300</v>
      </c>
      <c r="I25" s="5">
        <f t="shared" si="8"/>
        <v>276134030.1656726</v>
      </c>
      <c r="J25" s="39">
        <f t="shared" si="7"/>
        <v>312095223.79971373</v>
      </c>
      <c r="K25" s="5">
        <f>(G25*C25)+(E25*(C25-C24))</f>
        <v>94523999.999999985</v>
      </c>
      <c r="L25" s="5">
        <f t="shared" si="1"/>
        <v>294688034.45771593</v>
      </c>
      <c r="N25" s="5">
        <f t="shared" si="2"/>
        <v>56420488.834891051</v>
      </c>
      <c r="O25" s="5">
        <f t="shared" si="3"/>
        <v>351108523.29260695</v>
      </c>
      <c r="S25" s="66" t="s">
        <v>65</v>
      </c>
      <c r="U25" s="66" t="s">
        <v>65</v>
      </c>
      <c r="W25" s="66" t="s">
        <v>65</v>
      </c>
    </row>
    <row r="26" spans="1:23" x14ac:dyDescent="0.35">
      <c r="A26">
        <v>2033</v>
      </c>
      <c r="B26">
        <v>16</v>
      </c>
      <c r="C26" s="36">
        <f t="shared" si="9"/>
        <v>315079.99999999994</v>
      </c>
      <c r="D26" s="2">
        <f t="shared" si="5"/>
        <v>876.39339268018489</v>
      </c>
      <c r="E26">
        <f t="shared" si="6"/>
        <v>1227</v>
      </c>
      <c r="F26">
        <f t="shared" si="6"/>
        <v>0</v>
      </c>
      <c r="G26">
        <f t="shared" si="6"/>
        <v>300</v>
      </c>
      <c r="I26" s="5">
        <f t="shared" si="8"/>
        <v>276134030.1656726</v>
      </c>
      <c r="J26" s="39">
        <f t="shared" si="7"/>
        <v>312095223.79971373</v>
      </c>
      <c r="K26" s="5">
        <f t="shared" si="0"/>
        <v>94523999.999999985</v>
      </c>
      <c r="L26" s="5">
        <f t="shared" si="1"/>
        <v>284722738.60648888</v>
      </c>
      <c r="N26" s="5">
        <f t="shared" si="2"/>
        <v>54512549.598928563</v>
      </c>
      <c r="O26" s="5">
        <f t="shared" si="3"/>
        <v>339235288.20541745</v>
      </c>
      <c r="R26" s="32" t="s">
        <v>50</v>
      </c>
      <c r="S26" s="37">
        <v>5.0378223985272941</v>
      </c>
      <c r="T26" s="32" t="s">
        <v>50</v>
      </c>
      <c r="U26" s="37">
        <v>4.1918858477393313</v>
      </c>
      <c r="V26" s="32" t="s">
        <v>50</v>
      </c>
      <c r="W26" s="37">
        <v>5.8837589493152578</v>
      </c>
    </row>
    <row r="27" spans="1:23" x14ac:dyDescent="0.35">
      <c r="A27">
        <v>2034</v>
      </c>
      <c r="B27">
        <v>17</v>
      </c>
      <c r="C27" s="36">
        <f t="shared" si="9"/>
        <v>315079.99999999994</v>
      </c>
      <c r="D27" s="2">
        <f t="shared" si="5"/>
        <v>876.39339268018489</v>
      </c>
      <c r="E27">
        <f t="shared" si="6"/>
        <v>1227</v>
      </c>
      <c r="F27">
        <f t="shared" si="6"/>
        <v>0</v>
      </c>
      <c r="G27">
        <f t="shared" si="6"/>
        <v>300</v>
      </c>
      <c r="I27" s="5">
        <f t="shared" si="8"/>
        <v>276134030.1656726</v>
      </c>
      <c r="J27" s="39">
        <f t="shared" si="7"/>
        <v>312095223.79971373</v>
      </c>
      <c r="K27" s="5">
        <f t="shared" si="0"/>
        <v>94523999.999999985</v>
      </c>
      <c r="L27" s="5">
        <f t="shared" si="1"/>
        <v>275094433.43622112</v>
      </c>
      <c r="N27" s="5">
        <f t="shared" si="2"/>
        <v>52669130.047273979</v>
      </c>
      <c r="O27" s="5">
        <f t="shared" si="3"/>
        <v>327763563.48349512</v>
      </c>
      <c r="R27" s="32" t="s">
        <v>51</v>
      </c>
      <c r="S27" s="58">
        <v>7441056234.4108858</v>
      </c>
      <c r="T27" s="32" t="s">
        <v>51</v>
      </c>
      <c r="U27" s="58">
        <v>5882131441.816576</v>
      </c>
      <c r="V27" s="32" t="s">
        <v>51</v>
      </c>
      <c r="W27" s="58">
        <v>8999981027.0051975</v>
      </c>
    </row>
    <row r="28" spans="1:23" x14ac:dyDescent="0.35">
      <c r="A28">
        <v>2035</v>
      </c>
      <c r="B28">
        <v>18</v>
      </c>
      <c r="C28" s="36">
        <f t="shared" si="9"/>
        <v>315079.99999999994</v>
      </c>
      <c r="D28" s="2">
        <f t="shared" si="5"/>
        <v>876.39339268018489</v>
      </c>
      <c r="E28">
        <f t="shared" ref="E28:G43" si="10">E27</f>
        <v>1227</v>
      </c>
      <c r="F28">
        <f t="shared" si="10"/>
        <v>0</v>
      </c>
      <c r="G28">
        <f t="shared" si="10"/>
        <v>300</v>
      </c>
      <c r="I28" s="5">
        <f>D28*C28</f>
        <v>276134030.1656726</v>
      </c>
      <c r="J28" s="39">
        <f t="shared" si="7"/>
        <v>312095223.79971373</v>
      </c>
      <c r="K28" s="5">
        <f t="shared" si="0"/>
        <v>94523999.999999985</v>
      </c>
      <c r="L28" s="5">
        <f t="shared" si="1"/>
        <v>265791723.12678373</v>
      </c>
      <c r="N28" s="5">
        <f t="shared" si="2"/>
        <v>50888048.354854092</v>
      </c>
      <c r="O28" s="5">
        <f t="shared" si="3"/>
        <v>316679771.48163784</v>
      </c>
      <c r="R28" s="70"/>
      <c r="S28" s="70"/>
      <c r="T28" s="70"/>
    </row>
    <row r="29" spans="1:23" x14ac:dyDescent="0.35">
      <c r="A29">
        <v>2036</v>
      </c>
      <c r="B29">
        <v>19</v>
      </c>
      <c r="C29" s="36">
        <f t="shared" si="9"/>
        <v>315079.99999999994</v>
      </c>
      <c r="D29" s="2">
        <f t="shared" si="5"/>
        <v>876.39339268018489</v>
      </c>
      <c r="E29">
        <f t="shared" si="10"/>
        <v>1227</v>
      </c>
      <c r="F29">
        <f t="shared" si="10"/>
        <v>0</v>
      </c>
      <c r="G29">
        <f t="shared" si="10"/>
        <v>300</v>
      </c>
      <c r="I29" s="5">
        <f t="shared" si="8"/>
        <v>276134030.1656726</v>
      </c>
      <c r="J29" s="39">
        <f t="shared" si="7"/>
        <v>312095223.79971373</v>
      </c>
      <c r="K29" s="5">
        <f t="shared" si="0"/>
        <v>94523999.999999985</v>
      </c>
      <c r="L29" s="5">
        <f t="shared" si="1"/>
        <v>256803597.22394565</v>
      </c>
      <c r="N29" s="5">
        <f t="shared" si="2"/>
        <v>49167196.478119895</v>
      </c>
      <c r="O29" s="5">
        <f t="shared" si="3"/>
        <v>305970793.70206559</v>
      </c>
      <c r="Q29" s="32"/>
      <c r="R29" s="71"/>
      <c r="S29" s="71"/>
      <c r="T29" s="71"/>
      <c r="U29" s="5"/>
    </row>
    <row r="30" spans="1:23" x14ac:dyDescent="0.35">
      <c r="A30">
        <v>2037</v>
      </c>
      <c r="B30">
        <v>20</v>
      </c>
      <c r="C30" s="36">
        <f t="shared" si="9"/>
        <v>315079.99999999994</v>
      </c>
      <c r="D30" s="2">
        <f t="shared" si="5"/>
        <v>876.39339268018489</v>
      </c>
      <c r="E30">
        <f t="shared" si="10"/>
        <v>1227</v>
      </c>
      <c r="F30">
        <f t="shared" si="10"/>
        <v>0</v>
      </c>
      <c r="G30">
        <f t="shared" si="10"/>
        <v>300</v>
      </c>
      <c r="I30" s="5">
        <f t="shared" si="8"/>
        <v>276134030.1656726</v>
      </c>
      <c r="J30" s="39">
        <f t="shared" si="7"/>
        <v>312095223.79971373</v>
      </c>
      <c r="K30" s="5">
        <f t="shared" si="0"/>
        <v>94523999.999999985</v>
      </c>
      <c r="L30" s="5">
        <f t="shared" si="1"/>
        <v>248119417.60767698</v>
      </c>
      <c r="N30" s="5">
        <f t="shared" si="2"/>
        <v>47504537.660019226</v>
      </c>
      <c r="O30" s="5">
        <f t="shared" si="3"/>
        <v>295623955.2676962</v>
      </c>
      <c r="Q30" s="69"/>
      <c r="R30" s="69"/>
      <c r="S30" s="83"/>
      <c r="T30" s="83"/>
      <c r="U30" s="69"/>
    </row>
    <row r="31" spans="1:23" x14ac:dyDescent="0.35">
      <c r="A31">
        <v>2038</v>
      </c>
      <c r="B31">
        <v>21</v>
      </c>
      <c r="C31" s="36">
        <f t="shared" si="9"/>
        <v>315079.99999999994</v>
      </c>
      <c r="D31" s="2">
        <f t="shared" si="5"/>
        <v>876.39339268018489</v>
      </c>
      <c r="E31">
        <f t="shared" si="10"/>
        <v>1227</v>
      </c>
      <c r="F31">
        <f t="shared" si="10"/>
        <v>0</v>
      </c>
      <c r="G31">
        <f t="shared" si="10"/>
        <v>300</v>
      </c>
      <c r="I31" s="5">
        <f t="shared" si="8"/>
        <v>276134030.1656726</v>
      </c>
      <c r="J31" s="39">
        <f t="shared" si="7"/>
        <v>312095223.79971373</v>
      </c>
      <c r="K31" s="5">
        <f t="shared" si="0"/>
        <v>94523999.999999985</v>
      </c>
      <c r="L31" s="5">
        <f t="shared" si="1"/>
        <v>239728905.90113723</v>
      </c>
      <c r="N31" s="5">
        <f t="shared" si="2"/>
        <v>45898104.019342259</v>
      </c>
      <c r="O31" s="5">
        <f t="shared" si="3"/>
        <v>285627009.92047948</v>
      </c>
      <c r="Q31" s="69"/>
      <c r="R31" s="68"/>
      <c r="S31" s="62"/>
      <c r="T31" s="62"/>
      <c r="U31" s="70"/>
    </row>
    <row r="32" spans="1:23" x14ac:dyDescent="0.35">
      <c r="A32">
        <v>2039</v>
      </c>
      <c r="B32">
        <v>22</v>
      </c>
      <c r="C32" s="36">
        <f t="shared" si="9"/>
        <v>315079.99999999994</v>
      </c>
      <c r="D32" s="2">
        <f t="shared" si="5"/>
        <v>876.39339268018489</v>
      </c>
      <c r="E32">
        <f t="shared" si="10"/>
        <v>1227</v>
      </c>
      <c r="F32">
        <f t="shared" si="10"/>
        <v>0</v>
      </c>
      <c r="G32">
        <f t="shared" si="10"/>
        <v>300</v>
      </c>
      <c r="I32" s="5">
        <f t="shared" si="8"/>
        <v>276134030.1656726</v>
      </c>
      <c r="J32" s="39">
        <f t="shared" si="7"/>
        <v>312095223.79971373</v>
      </c>
      <c r="K32" s="5">
        <f t="shared" si="0"/>
        <v>94523999.999999985</v>
      </c>
      <c r="L32" s="5">
        <f t="shared" si="1"/>
        <v>231622131.30544659</v>
      </c>
      <c r="N32" s="5">
        <f t="shared" si="2"/>
        <v>44345994.221586719</v>
      </c>
      <c r="O32" s="5">
        <f t="shared" si="3"/>
        <v>275968125.52703333</v>
      </c>
      <c r="Q32" s="69"/>
      <c r="R32" s="68"/>
      <c r="S32" s="63"/>
      <c r="T32" s="63"/>
      <c r="U32" s="71"/>
    </row>
    <row r="33" spans="1:21" x14ac:dyDescent="0.35">
      <c r="A33">
        <v>2040</v>
      </c>
      <c r="B33">
        <v>23</v>
      </c>
      <c r="C33" s="36">
        <f t="shared" si="9"/>
        <v>315079.99999999994</v>
      </c>
      <c r="D33" s="2">
        <f t="shared" si="5"/>
        <v>876.39339268018489</v>
      </c>
      <c r="E33">
        <f t="shared" si="10"/>
        <v>1227</v>
      </c>
      <c r="F33">
        <f t="shared" si="10"/>
        <v>0</v>
      </c>
      <c r="G33">
        <f t="shared" si="10"/>
        <v>300</v>
      </c>
      <c r="I33" s="5">
        <f t="shared" si="8"/>
        <v>276134030.1656726</v>
      </c>
      <c r="J33" s="39">
        <f t="shared" si="7"/>
        <v>312095223.79971373</v>
      </c>
      <c r="K33" s="5">
        <f t="shared" si="0"/>
        <v>94523999.999999985</v>
      </c>
      <c r="L33" s="5">
        <f t="shared" si="1"/>
        <v>223789498.84584212</v>
      </c>
      <c r="N33" s="5">
        <f t="shared" si="2"/>
        <v>42846371.228586204</v>
      </c>
      <c r="O33" s="5">
        <f t="shared" si="3"/>
        <v>266635870.07442832</v>
      </c>
      <c r="Q33" s="69"/>
      <c r="R33" s="71"/>
      <c r="S33" s="71"/>
      <c r="T33" s="71"/>
      <c r="U33" s="72"/>
    </row>
    <row r="34" spans="1:21" x14ac:dyDescent="0.35">
      <c r="A34">
        <v>2041</v>
      </c>
      <c r="B34">
        <v>24</v>
      </c>
      <c r="C34" s="36">
        <f t="shared" si="9"/>
        <v>315079.99999999994</v>
      </c>
      <c r="D34" s="2">
        <f t="shared" si="5"/>
        <v>876.39339268018489</v>
      </c>
      <c r="E34">
        <f t="shared" si="10"/>
        <v>1227</v>
      </c>
      <c r="F34">
        <f t="shared" si="10"/>
        <v>0</v>
      </c>
      <c r="G34">
        <f t="shared" si="10"/>
        <v>300</v>
      </c>
      <c r="I34" s="5">
        <f t="shared" si="8"/>
        <v>276134030.1656726</v>
      </c>
      <c r="J34" s="39">
        <f t="shared" si="7"/>
        <v>312095223.79971373</v>
      </c>
      <c r="K34" s="5">
        <f t="shared" si="0"/>
        <v>94523999.999999985</v>
      </c>
      <c r="L34" s="5">
        <f t="shared" si="1"/>
        <v>216221738.01530644</v>
      </c>
      <c r="N34" s="5">
        <f t="shared" si="2"/>
        <v>41397460.124237888</v>
      </c>
      <c r="O34" s="5">
        <f t="shared" si="3"/>
        <v>257619198.13954434</v>
      </c>
      <c r="Q34" s="68"/>
      <c r="R34" s="69"/>
      <c r="S34" s="83"/>
      <c r="T34" s="83"/>
      <c r="U34" s="62"/>
    </row>
    <row r="35" spans="1:21" x14ac:dyDescent="0.35">
      <c r="A35">
        <v>2042</v>
      </c>
      <c r="B35">
        <v>25</v>
      </c>
      <c r="C35" s="36">
        <f t="shared" si="9"/>
        <v>315079.99999999994</v>
      </c>
      <c r="D35" s="2">
        <f t="shared" si="5"/>
        <v>876.39339268018489</v>
      </c>
      <c r="E35">
        <f t="shared" si="10"/>
        <v>1227</v>
      </c>
      <c r="F35">
        <f t="shared" si="10"/>
        <v>0</v>
      </c>
      <c r="G35">
        <f t="shared" si="10"/>
        <v>300</v>
      </c>
      <c r="I35" s="5">
        <f t="shared" si="8"/>
        <v>276134030.1656726</v>
      </c>
      <c r="J35" s="39">
        <f t="shared" si="7"/>
        <v>312095223.79971373</v>
      </c>
      <c r="K35" s="5">
        <f t="shared" si="0"/>
        <v>94523999.999999985</v>
      </c>
      <c r="L35" s="5">
        <f>(I35+J35-K35)/(1+$J$5)^B35</f>
        <v>208909891.80222845</v>
      </c>
      <c r="N35" s="5">
        <f t="shared" si="2"/>
        <v>39997546.013756417</v>
      </c>
      <c r="O35" s="5">
        <f t="shared" si="3"/>
        <v>248907437.81598487</v>
      </c>
      <c r="Q35" s="68"/>
      <c r="R35" s="68"/>
      <c r="S35" s="62"/>
      <c r="T35" s="62"/>
      <c r="U35" s="62"/>
    </row>
    <row r="36" spans="1:21" x14ac:dyDescent="0.35">
      <c r="A36">
        <v>2043</v>
      </c>
      <c r="B36">
        <v>26</v>
      </c>
      <c r="C36" s="36">
        <f t="shared" si="9"/>
        <v>315079.99999999994</v>
      </c>
      <c r="D36" s="2">
        <f t="shared" si="5"/>
        <v>876.39339268018489</v>
      </c>
      <c r="E36">
        <f t="shared" si="10"/>
        <v>1227</v>
      </c>
      <c r="F36">
        <f t="shared" si="10"/>
        <v>0</v>
      </c>
      <c r="G36">
        <f t="shared" si="10"/>
        <v>300</v>
      </c>
      <c r="I36" s="5">
        <f t="shared" si="8"/>
        <v>276134030.1656726</v>
      </c>
      <c r="J36" s="39">
        <f t="shared" si="7"/>
        <v>312095223.79971373</v>
      </c>
      <c r="K36" s="5">
        <f t="shared" si="0"/>
        <v>94523999.999999985</v>
      </c>
      <c r="L36" s="5">
        <f t="shared" si="1"/>
        <v>201845306.08910963</v>
      </c>
      <c r="N36" s="5">
        <f t="shared" si="2"/>
        <v>38644971.993967555</v>
      </c>
      <c r="O36" s="5">
        <f t="shared" si="3"/>
        <v>240490278.08307719</v>
      </c>
      <c r="Q36" s="68"/>
      <c r="R36" s="68"/>
      <c r="S36" s="63"/>
      <c r="T36" s="63"/>
      <c r="U36" s="63"/>
    </row>
    <row r="37" spans="1:21" x14ac:dyDescent="0.35">
      <c r="A37">
        <v>2044</v>
      </c>
      <c r="B37">
        <v>27</v>
      </c>
      <c r="C37" s="36">
        <f t="shared" si="9"/>
        <v>315079.99999999994</v>
      </c>
      <c r="D37" s="2">
        <f t="shared" si="5"/>
        <v>876.39339268018489</v>
      </c>
      <c r="E37">
        <f t="shared" si="10"/>
        <v>1227</v>
      </c>
      <c r="F37">
        <f t="shared" si="10"/>
        <v>0</v>
      </c>
      <c r="G37">
        <f t="shared" si="10"/>
        <v>300</v>
      </c>
      <c r="I37" s="5">
        <f t="shared" si="8"/>
        <v>276134030.1656726</v>
      </c>
      <c r="J37" s="39">
        <f t="shared" si="7"/>
        <v>312095223.79971373</v>
      </c>
      <c r="K37" s="5">
        <f t="shared" si="0"/>
        <v>94523999.999999985</v>
      </c>
      <c r="L37" s="5">
        <f t="shared" si="1"/>
        <v>195019619.40976775</v>
      </c>
      <c r="N37" s="5">
        <f t="shared" si="2"/>
        <v>37338137.19223918</v>
      </c>
      <c r="O37" s="5">
        <f t="shared" si="3"/>
        <v>232357756.60200694</v>
      </c>
      <c r="Q37" s="68"/>
      <c r="R37" s="63"/>
      <c r="S37" s="63"/>
      <c r="T37" s="63"/>
      <c r="U37" s="63"/>
    </row>
    <row r="38" spans="1:21" x14ac:dyDescent="0.35">
      <c r="A38">
        <v>2045</v>
      </c>
      <c r="B38">
        <v>28</v>
      </c>
      <c r="C38" s="36">
        <f t="shared" si="9"/>
        <v>315079.99999999994</v>
      </c>
      <c r="D38" s="2">
        <f t="shared" si="5"/>
        <v>876.39339268018489</v>
      </c>
      <c r="E38">
        <f t="shared" si="10"/>
        <v>1227</v>
      </c>
      <c r="F38">
        <f t="shared" si="10"/>
        <v>0</v>
      </c>
      <c r="G38">
        <f t="shared" si="10"/>
        <v>300</v>
      </c>
      <c r="I38" s="5">
        <f t="shared" si="8"/>
        <v>276134030.1656726</v>
      </c>
      <c r="J38" s="39">
        <f t="shared" si="7"/>
        <v>312095223.79971373</v>
      </c>
      <c r="K38" s="5">
        <f t="shared" si="0"/>
        <v>94523999.999999985</v>
      </c>
      <c r="L38" s="5">
        <f t="shared" si="1"/>
        <v>188424753.05291572</v>
      </c>
      <c r="N38" s="5">
        <f t="shared" si="2"/>
        <v>36075494.871728681</v>
      </c>
      <c r="O38" s="5">
        <f t="shared" si="3"/>
        <v>224500247.92464438</v>
      </c>
      <c r="Q38" s="69"/>
      <c r="R38" s="71"/>
      <c r="S38" s="71"/>
      <c r="T38" s="71"/>
      <c r="U38" s="71"/>
    </row>
    <row r="39" spans="1:21" x14ac:dyDescent="0.35">
      <c r="A39">
        <v>2046</v>
      </c>
      <c r="B39">
        <v>29</v>
      </c>
      <c r="C39" s="36">
        <f t="shared" si="9"/>
        <v>315079.99999999994</v>
      </c>
      <c r="D39" s="2">
        <f t="shared" si="5"/>
        <v>876.39339268018489</v>
      </c>
      <c r="E39">
        <f t="shared" si="10"/>
        <v>1227</v>
      </c>
      <c r="F39">
        <f t="shared" si="10"/>
        <v>0</v>
      </c>
      <c r="G39">
        <f t="shared" si="10"/>
        <v>300</v>
      </c>
      <c r="I39" s="5">
        <f t="shared" si="8"/>
        <v>276134030.1656726</v>
      </c>
      <c r="J39" s="39">
        <f t="shared" si="7"/>
        <v>312095223.79971373</v>
      </c>
      <c r="K39" s="5">
        <f t="shared" si="0"/>
        <v>94523999.999999985</v>
      </c>
      <c r="L39" s="5">
        <f>(I39+J39-K39)/(1+$J$5)^B39</f>
        <v>182052901.50040171</v>
      </c>
      <c r="N39" s="5">
        <f t="shared" si="2"/>
        <v>34855550.600704044</v>
      </c>
      <c r="O39" s="5">
        <f t="shared" si="3"/>
        <v>216908452.10110575</v>
      </c>
      <c r="Q39" s="69"/>
      <c r="R39" s="72"/>
      <c r="S39" s="72"/>
      <c r="T39" s="72"/>
      <c r="U39" s="72"/>
    </row>
    <row r="40" spans="1:21" x14ac:dyDescent="0.35">
      <c r="A40">
        <v>2047</v>
      </c>
      <c r="B40">
        <v>30</v>
      </c>
      <c r="C40" s="36">
        <f t="shared" si="9"/>
        <v>315079.99999999994</v>
      </c>
      <c r="D40" s="2">
        <f t="shared" si="5"/>
        <v>876.39339268018489</v>
      </c>
      <c r="E40">
        <f t="shared" si="10"/>
        <v>1227</v>
      </c>
      <c r="F40">
        <f t="shared" si="10"/>
        <v>0</v>
      </c>
      <c r="G40">
        <f t="shared" si="10"/>
        <v>300</v>
      </c>
      <c r="I40" s="5">
        <f t="shared" si="8"/>
        <v>276134030.1656726</v>
      </c>
      <c r="J40" s="39">
        <f t="shared" si="7"/>
        <v>312095223.79971373</v>
      </c>
      <c r="K40" s="5">
        <f t="shared" si="0"/>
        <v>94523999.999999985</v>
      </c>
      <c r="L40" s="5">
        <f t="shared" si="1"/>
        <v>175896523.1887939</v>
      </c>
      <c r="N40" s="5">
        <f>(K40)/(1+$J$5)^$B40</f>
        <v>33676860.483772025</v>
      </c>
      <c r="O40" s="5">
        <f>(I40+J40)/(1+$J$5)^$B40</f>
        <v>209573383.67256591</v>
      </c>
      <c r="Q40" s="68"/>
      <c r="R40" s="62"/>
      <c r="S40" s="62"/>
      <c r="T40" s="62"/>
      <c r="U40" s="62"/>
    </row>
    <row r="41" spans="1:21" x14ac:dyDescent="0.35">
      <c r="A41">
        <v>2048</v>
      </c>
      <c r="B41">
        <v>31</v>
      </c>
      <c r="C41" s="36">
        <f t="shared" si="9"/>
        <v>315079.99999999994</v>
      </c>
      <c r="D41" s="2">
        <f t="shared" si="5"/>
        <v>876.39339268018489</v>
      </c>
      <c r="E41">
        <f t="shared" si="10"/>
        <v>1227</v>
      </c>
      <c r="F41">
        <f t="shared" si="10"/>
        <v>0</v>
      </c>
      <c r="G41">
        <f t="shared" si="10"/>
        <v>300</v>
      </c>
      <c r="I41" s="5">
        <f t="shared" si="8"/>
        <v>276134030.1656726</v>
      </c>
      <c r="J41" s="39">
        <f t="shared" si="7"/>
        <v>312095223.79971373</v>
      </c>
      <c r="K41" s="5">
        <f t="shared" si="0"/>
        <v>94523999.999999985</v>
      </c>
      <c r="L41" s="5">
        <f>(I41+J41-K41)/(1+$J$6)^B41</f>
        <v>197475755.08463821</v>
      </c>
      <c r="N41" s="5">
        <f>(K41)/(1+$J$6)^$B41</f>
        <v>37808384.909205407</v>
      </c>
      <c r="O41" s="5">
        <f>(I41+J41)/(1+$J$6)^$B41</f>
        <v>235284139.99384362</v>
      </c>
      <c r="Q41" s="68"/>
      <c r="R41" s="62"/>
      <c r="S41" s="62"/>
      <c r="T41" s="62"/>
      <c r="U41" s="62"/>
    </row>
    <row r="42" spans="1:21" x14ac:dyDescent="0.35">
      <c r="A42">
        <v>2049</v>
      </c>
      <c r="B42">
        <v>32</v>
      </c>
      <c r="C42" s="36">
        <f t="shared" si="9"/>
        <v>315079.99999999994</v>
      </c>
      <c r="D42" s="2">
        <f t="shared" si="5"/>
        <v>876.39339268018489</v>
      </c>
      <c r="E42">
        <f t="shared" si="10"/>
        <v>1227</v>
      </c>
      <c r="F42">
        <f t="shared" si="10"/>
        <v>0</v>
      </c>
      <c r="G42">
        <f t="shared" si="10"/>
        <v>300</v>
      </c>
      <c r="I42" s="5">
        <f t="shared" si="8"/>
        <v>276134030.1656726</v>
      </c>
      <c r="J42" s="39">
        <f t="shared" si="7"/>
        <v>312095223.79971373</v>
      </c>
      <c r="K42" s="5">
        <f t="shared" si="0"/>
        <v>94523999.999999985</v>
      </c>
      <c r="L42" s="5">
        <f>(I42+J42-K42)/(1+$J$6)^B42</f>
        <v>191724034.06275558</v>
      </c>
      <c r="N42" s="5">
        <f>(K42)/(1+$J$6)^$B42</f>
        <v>36707169.81476254</v>
      </c>
      <c r="O42" s="5">
        <f>(I42+J42)/(1+$J$6)^$B42</f>
        <v>228431203.87751812</v>
      </c>
      <c r="Q42" s="68"/>
      <c r="R42" s="63"/>
      <c r="S42" s="63"/>
      <c r="T42" s="63"/>
      <c r="U42" s="63"/>
    </row>
    <row r="43" spans="1:21" x14ac:dyDescent="0.35">
      <c r="A43">
        <v>2050</v>
      </c>
      <c r="B43">
        <v>33</v>
      </c>
      <c r="C43" s="36">
        <f t="shared" si="9"/>
        <v>315079.99999999994</v>
      </c>
      <c r="D43" s="2">
        <f t="shared" si="5"/>
        <v>876.39339268018489</v>
      </c>
      <c r="E43">
        <f t="shared" si="10"/>
        <v>1227</v>
      </c>
      <c r="F43">
        <f t="shared" si="10"/>
        <v>0</v>
      </c>
      <c r="G43">
        <f t="shared" si="10"/>
        <v>300</v>
      </c>
      <c r="I43" s="5">
        <f t="shared" si="8"/>
        <v>276134030.1656726</v>
      </c>
      <c r="J43" s="39">
        <f t="shared" si="7"/>
        <v>312095223.79971373</v>
      </c>
      <c r="K43" s="5">
        <f t="shared" si="0"/>
        <v>94523999.999999985</v>
      </c>
      <c r="L43" s="5">
        <f t="shared" ref="L43" si="11">(I43+J43-K43)/(1+$J$6)^B43</f>
        <v>186139838.89587921</v>
      </c>
      <c r="N43" s="5">
        <f>(K43)/(1+$J$6)^$B43</f>
        <v>35638028.946371399</v>
      </c>
      <c r="O43" s="5">
        <f>(I43+J43)/(1+$J$6)^$B43</f>
        <v>221777867.84225059</v>
      </c>
      <c r="Q43" s="68"/>
      <c r="R43" s="63"/>
      <c r="S43" s="63"/>
      <c r="T43" s="63"/>
      <c r="U43" s="63"/>
    </row>
    <row r="44" spans="1:21" ht="15" thickBot="1" x14ac:dyDescent="0.4">
      <c r="Q44" s="69"/>
      <c r="R44" s="69"/>
      <c r="S44" s="69"/>
      <c r="T44" s="69"/>
      <c r="U44" s="69"/>
    </row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8999981027.0051975</v>
      </c>
      <c r="N45" s="5">
        <f>SUM(N10:N43)</f>
        <v>1842838911.6680431</v>
      </c>
      <c r="O45" s="5">
        <f>SUM(O10:O43)</f>
        <v>10842819938.673239</v>
      </c>
      <c r="Q45" s="69"/>
      <c r="R45" s="69"/>
      <c r="S45" s="69"/>
      <c r="T45" s="69"/>
      <c r="U45" s="69"/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5.8837589493152578</v>
      </c>
    </row>
    <row r="49" spans="3:15" x14ac:dyDescent="0.35">
      <c r="C49" s="36"/>
      <c r="D49" s="2"/>
      <c r="I49" s="5"/>
      <c r="J49" s="39"/>
      <c r="K49" s="5"/>
      <c r="L49" s="5"/>
      <c r="N49" s="5"/>
      <c r="O49" s="5"/>
    </row>
    <row r="50" spans="3:15" x14ac:dyDescent="0.35">
      <c r="C50" s="142" t="s">
        <v>166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5"/>
    </row>
    <row r="51" spans="3:15" x14ac:dyDescent="0.35"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5"/>
    </row>
  </sheetData>
  <mergeCells count="18">
    <mergeCell ref="T24:U24"/>
    <mergeCell ref="V17:W17"/>
    <mergeCell ref="V18:W18"/>
    <mergeCell ref="V23:W23"/>
    <mergeCell ref="V24:W24"/>
    <mergeCell ref="T9:U9"/>
    <mergeCell ref="V9:W9"/>
    <mergeCell ref="T17:U17"/>
    <mergeCell ref="T18:U18"/>
    <mergeCell ref="T23:U23"/>
    <mergeCell ref="C50:N51"/>
    <mergeCell ref="I46:J46"/>
    <mergeCell ref="I8:J8"/>
    <mergeCell ref="R9:S9"/>
    <mergeCell ref="R17:S17"/>
    <mergeCell ref="R18:S18"/>
    <mergeCell ref="R23:S23"/>
    <mergeCell ref="R24:S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80" zoomScaleNormal="80" workbookViewId="0">
      <selection activeCell="C50" sqref="C50:N51"/>
    </sheetView>
  </sheetViews>
  <sheetFormatPr defaultRowHeight="14.5" x14ac:dyDescent="0.35"/>
  <cols>
    <col min="3" max="3" width="11" bestFit="1" customWidth="1"/>
    <col min="4" max="4" width="10.26953125" customWidth="1"/>
    <col min="8" max="8" width="10" customWidth="1"/>
    <col min="9" max="11" width="17.7265625" bestFit="1" customWidth="1"/>
    <col min="12" max="12" width="24.54296875" customWidth="1"/>
    <col min="14" max="14" width="22" bestFit="1" customWidth="1"/>
    <col min="15" max="15" width="25" bestFit="1" customWidth="1"/>
    <col min="17" max="17" width="22.26953125" customWidth="1"/>
    <col min="18" max="18" width="32" bestFit="1" customWidth="1"/>
    <col min="19" max="19" width="28.1796875" customWidth="1"/>
    <col min="20" max="20" width="32" bestFit="1" customWidth="1"/>
    <col min="21" max="21" width="26.7265625" bestFit="1" customWidth="1"/>
    <col min="22" max="22" width="32" bestFit="1" customWidth="1"/>
    <col min="23" max="23" width="29.81640625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78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Q9" s="38"/>
      <c r="R9" s="153" t="s">
        <v>89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f>'BCA - WTP per ha &amp; per year'!D17/11</f>
        <v>42965.454545454544</v>
      </c>
      <c r="D10" s="87">
        <f>V12</f>
        <v>605.70656485014376</v>
      </c>
      <c r="E10" s="88">
        <v>1227</v>
      </c>
      <c r="F10">
        <v>0</v>
      </c>
      <c r="G10" s="88">
        <v>300</v>
      </c>
      <c r="I10" s="5">
        <f>D10*C10</f>
        <v>26024457.879952267</v>
      </c>
      <c r="J10" s="85">
        <f>$W$12</f>
        <v>312095223.79971373</v>
      </c>
      <c r="K10" s="5">
        <f>(G10*C10)+(E10*C10)</f>
        <v>65608249.090909094</v>
      </c>
      <c r="L10" s="5">
        <f>(I10+J10-K10)/(1+$J$5)^B10</f>
        <v>272511432.58875692</v>
      </c>
      <c r="N10" s="5">
        <f>(K10)/(1+$J$5)^$B10</f>
        <v>65608249.090909094</v>
      </c>
      <c r="O10" s="5">
        <f>(I10+J10)/(1+$J$5)^$B10</f>
        <v>338119681.67966598</v>
      </c>
      <c r="R10" s="64" t="s">
        <v>79</v>
      </c>
      <c r="S10" s="28" t="s">
        <v>69</v>
      </c>
      <c r="T10" s="76" t="s">
        <v>79</v>
      </c>
      <c r="U10" s="28" t="s">
        <v>69</v>
      </c>
      <c r="V10" s="76" t="s">
        <v>79</v>
      </c>
      <c r="W10" s="28" t="s">
        <v>69</v>
      </c>
    </row>
    <row r="11" spans="1:23" ht="15" thickBot="1" x14ac:dyDescent="0.4">
      <c r="A11">
        <v>2018</v>
      </c>
      <c r="B11">
        <v>1</v>
      </c>
      <c r="C11" s="36">
        <f>C10+$C$10</f>
        <v>85930.909090909088</v>
      </c>
      <c r="D11" s="2">
        <f>$D$10</f>
        <v>605.70656485014376</v>
      </c>
      <c r="E11">
        <f>E10</f>
        <v>1227</v>
      </c>
      <c r="F11">
        <v>0</v>
      </c>
      <c r="G11">
        <f>G10</f>
        <v>300</v>
      </c>
      <c r="I11" s="5">
        <f>D11*C11</f>
        <v>52048915.759904534</v>
      </c>
      <c r="J11" s="39">
        <f>$J$10</f>
        <v>312095223.79971373</v>
      </c>
      <c r="K11" s="5">
        <f>(G11*C11)+(E11*(C11-C10))</f>
        <v>78497885.454545453</v>
      </c>
      <c r="L11" s="5">
        <f>(I11+J11-K11)/(1+$J$5)^B11</f>
        <v>275986718.94209933</v>
      </c>
      <c r="N11" s="5">
        <f t="shared" ref="N11:N40" si="0">(K11)/(1+$J$5)^$B11</f>
        <v>75843367.588932812</v>
      </c>
      <c r="O11" s="5">
        <f t="shared" ref="O11:O40" si="1">(I11+J11)/(1+$J$5)^$B11</f>
        <v>351830086.53103215</v>
      </c>
      <c r="Q11" t="s">
        <v>43</v>
      </c>
      <c r="R11" s="44">
        <f>'BCA - WTP per ha &amp; per year'!D19</f>
        <v>401.86175571988736</v>
      </c>
      <c r="S11" s="44">
        <f>'BCA - WTP per ha &amp; per year'!$B$24</f>
        <v>209756507.67057517</v>
      </c>
      <c r="T11" s="44">
        <f>'BCA - WTP per ha &amp; per year'!$D$35</f>
        <v>336.35021612068419</v>
      </c>
      <c r="U11" s="44">
        <f>'BCA - WTP per ha &amp; per year'!$B$38</f>
        <v>180632242.10667169</v>
      </c>
      <c r="V11" s="44">
        <f>'BCA - WTP per ha &amp; per year'!$D$60</f>
        <v>467.37329531909052</v>
      </c>
      <c r="W11" s="44">
        <f>'BCA - WTP per ha &amp; per year'!$B$63</f>
        <v>238880773.23447868</v>
      </c>
    </row>
    <row r="12" spans="1:23" ht="15" thickBot="1" x14ac:dyDescent="0.4">
      <c r="A12">
        <v>2019</v>
      </c>
      <c r="B12">
        <v>2</v>
      </c>
      <c r="C12" s="36">
        <f t="shared" ref="C12:C20" si="2">C11+$C$10</f>
        <v>128896.36363636363</v>
      </c>
      <c r="D12" s="2">
        <f t="shared" ref="D12:D43" si="3">$D$10</f>
        <v>605.70656485014376</v>
      </c>
      <c r="E12">
        <f t="shared" ref="E12:G27" si="4">E11</f>
        <v>1227</v>
      </c>
      <c r="F12">
        <f t="shared" si="4"/>
        <v>0</v>
      </c>
      <c r="G12">
        <f t="shared" si="4"/>
        <v>300</v>
      </c>
      <c r="I12" s="5">
        <f>D12*C12</f>
        <v>78073373.6398568</v>
      </c>
      <c r="J12" s="39">
        <f t="shared" ref="J12:J43" si="5">$J$10</f>
        <v>312095223.79971373</v>
      </c>
      <c r="K12" s="5">
        <f t="shared" ref="K12:K43" si="6">(G12*C12)+(E12*(C12-C11))</f>
        <v>91387521.818181813</v>
      </c>
      <c r="L12" s="5">
        <f t="shared" ref="L12:L39" si="7">(I12+J12-K12)/(1+$J$5)^B12</f>
        <v>278915331.15954983</v>
      </c>
      <c r="N12" s="5">
        <f t="shared" si="0"/>
        <v>85311229.497240841</v>
      </c>
      <c r="O12" s="5">
        <f t="shared" si="1"/>
        <v>364226560.65679067</v>
      </c>
      <c r="Q12" t="s">
        <v>44</v>
      </c>
      <c r="R12" s="44">
        <f>'BCA - WTP per ha &amp; per year'!G19</f>
        <v>519.17796852259983</v>
      </c>
      <c r="S12" s="82">
        <f>'BCA - WTP per ha &amp; per year'!$C$24</f>
        <v>271816766.49113196</v>
      </c>
      <c r="T12" s="44">
        <f>'BCA - WTP per ha &amp; per year'!$G$35</f>
        <v>432.64937219505606</v>
      </c>
      <c r="U12" s="82">
        <f>'BCA - WTP per ha &amp; per year'!$C$38</f>
        <v>231538309.18255019</v>
      </c>
      <c r="V12" s="44">
        <f>'BCA - WTP per ha &amp; per year'!$G$60</f>
        <v>605.70656485014376</v>
      </c>
      <c r="W12" s="82">
        <f>'BCA - WTP per ha &amp; per year'!$C$63</f>
        <v>312095223.79971373</v>
      </c>
    </row>
    <row r="13" spans="1:23" x14ac:dyDescent="0.35">
      <c r="A13">
        <v>2020</v>
      </c>
      <c r="B13">
        <v>3</v>
      </c>
      <c r="C13" s="36">
        <f t="shared" si="2"/>
        <v>171861.81818181818</v>
      </c>
      <c r="D13" s="2">
        <f t="shared" si="3"/>
        <v>605.70656485014376</v>
      </c>
      <c r="E13">
        <f t="shared" si="4"/>
        <v>1227</v>
      </c>
      <c r="F13">
        <f t="shared" si="4"/>
        <v>0</v>
      </c>
      <c r="G13">
        <f t="shared" si="4"/>
        <v>300</v>
      </c>
      <c r="I13" s="5">
        <f t="shared" ref="I13:I43" si="8">D13*C13</f>
        <v>104097831.51980907</v>
      </c>
      <c r="J13" s="39">
        <f t="shared" si="5"/>
        <v>312095223.79971373</v>
      </c>
      <c r="K13" s="5">
        <f t="shared" si="6"/>
        <v>104277158.18181819</v>
      </c>
      <c r="L13" s="5">
        <f t="shared" si="7"/>
        <v>281330268.20524985</v>
      </c>
      <c r="N13" s="5">
        <f t="shared" si="0"/>
        <v>94052022.189881459</v>
      </c>
      <c r="O13" s="5">
        <f t="shared" si="1"/>
        <v>375382290.39513129</v>
      </c>
      <c r="S13" s="26"/>
      <c r="T13" s="2"/>
    </row>
    <row r="14" spans="1:23" x14ac:dyDescent="0.35">
      <c r="A14">
        <v>2021</v>
      </c>
      <c r="B14">
        <v>4</v>
      </c>
      <c r="C14" s="36">
        <f t="shared" si="2"/>
        <v>214827.27272727271</v>
      </c>
      <c r="D14" s="2">
        <f t="shared" si="3"/>
        <v>605.70656485014376</v>
      </c>
      <c r="E14">
        <f t="shared" si="4"/>
        <v>1227</v>
      </c>
      <c r="F14">
        <f t="shared" si="4"/>
        <v>0</v>
      </c>
      <c r="G14">
        <f t="shared" si="4"/>
        <v>300</v>
      </c>
      <c r="I14" s="5">
        <f t="shared" si="8"/>
        <v>130122289.39976132</v>
      </c>
      <c r="J14" s="39">
        <f t="shared" si="5"/>
        <v>312095223.79971373</v>
      </c>
      <c r="K14" s="5">
        <f t="shared" si="6"/>
        <v>117166794.54545452</v>
      </c>
      <c r="L14" s="5">
        <f t="shared" si="7"/>
        <v>283262922.37888157</v>
      </c>
      <c r="N14" s="5">
        <f t="shared" si="0"/>
        <v>102104092.45099182</v>
      </c>
      <c r="O14" s="5">
        <f t="shared" si="1"/>
        <v>385367014.82987338</v>
      </c>
      <c r="T14" s="2"/>
    </row>
    <row r="15" spans="1:23" x14ac:dyDescent="0.35">
      <c r="A15">
        <v>2022</v>
      </c>
      <c r="B15">
        <v>5</v>
      </c>
      <c r="C15" s="36">
        <f t="shared" si="2"/>
        <v>257792.72727272724</v>
      </c>
      <c r="D15" s="2">
        <f t="shared" si="3"/>
        <v>605.70656485014376</v>
      </c>
      <c r="E15">
        <f t="shared" si="4"/>
        <v>1227</v>
      </c>
      <c r="F15">
        <f t="shared" si="4"/>
        <v>0</v>
      </c>
      <c r="G15">
        <f t="shared" si="4"/>
        <v>300</v>
      </c>
      <c r="I15" s="5">
        <f t="shared" si="8"/>
        <v>156146747.27971357</v>
      </c>
      <c r="J15" s="39">
        <f t="shared" si="5"/>
        <v>312095223.79971373</v>
      </c>
      <c r="K15" s="5">
        <f t="shared" si="6"/>
        <v>130056430.90909088</v>
      </c>
      <c r="L15" s="5">
        <f t="shared" si="7"/>
        <v>284743150.24297881</v>
      </c>
      <c r="N15" s="5">
        <f t="shared" si="0"/>
        <v>109504025.0028441</v>
      </c>
      <c r="O15" s="5">
        <f t="shared" si="1"/>
        <v>394247175.24582291</v>
      </c>
      <c r="T15" s="2"/>
    </row>
    <row r="16" spans="1:23" x14ac:dyDescent="0.35">
      <c r="A16">
        <v>2023</v>
      </c>
      <c r="B16">
        <v>6</v>
      </c>
      <c r="C16" s="36">
        <f t="shared" si="2"/>
        <v>300758.18181818177</v>
      </c>
      <c r="D16" s="2">
        <f t="shared" si="3"/>
        <v>605.70656485014376</v>
      </c>
      <c r="E16">
        <f t="shared" si="4"/>
        <v>1227</v>
      </c>
      <c r="F16">
        <f t="shared" si="4"/>
        <v>0</v>
      </c>
      <c r="G16">
        <f t="shared" si="4"/>
        <v>300</v>
      </c>
      <c r="I16" s="5">
        <f t="shared" si="8"/>
        <v>182171205.15966585</v>
      </c>
      <c r="J16" s="39">
        <f t="shared" si="5"/>
        <v>312095223.79971373</v>
      </c>
      <c r="K16" s="5">
        <f t="shared" si="6"/>
        <v>142946067.27272725</v>
      </c>
      <c r="L16" s="5">
        <f t="shared" si="7"/>
        <v>285799340.59052438</v>
      </c>
      <c r="N16" s="5">
        <f t="shared" si="0"/>
        <v>116286717.82762299</v>
      </c>
      <c r="O16" s="5">
        <f t="shared" si="1"/>
        <v>402086058.41814739</v>
      </c>
      <c r="T16" s="2"/>
    </row>
    <row r="17" spans="1:23" x14ac:dyDescent="0.35">
      <c r="A17">
        <v>2024</v>
      </c>
      <c r="B17">
        <v>7</v>
      </c>
      <c r="C17" s="36">
        <f t="shared" si="2"/>
        <v>343723.63636363629</v>
      </c>
      <c r="D17" s="2">
        <f t="shared" si="3"/>
        <v>605.70656485014376</v>
      </c>
      <c r="E17">
        <f t="shared" si="4"/>
        <v>1227</v>
      </c>
      <c r="F17">
        <f t="shared" si="4"/>
        <v>0</v>
      </c>
      <c r="G17">
        <f t="shared" si="4"/>
        <v>300</v>
      </c>
      <c r="I17" s="5">
        <f>D17*C17</f>
        <v>208195663.0396181</v>
      </c>
      <c r="J17" s="39">
        <f t="shared" si="5"/>
        <v>312095223.79971373</v>
      </c>
      <c r="K17" s="5">
        <f t="shared" si="6"/>
        <v>155835703.6363636</v>
      </c>
      <c r="L17" s="5">
        <f t="shared" si="7"/>
        <v>286458479.57189834</v>
      </c>
      <c r="N17" s="5">
        <f t="shared" si="0"/>
        <v>122485454.40998435</v>
      </c>
      <c r="O17" s="5">
        <f>(I17+J17)/(1+$J$5)^$B17</f>
        <v>408943933.98188269</v>
      </c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f t="shared" si="2"/>
        <v>386689.09090909082</v>
      </c>
      <c r="D18" s="2">
        <f t="shared" si="3"/>
        <v>605.70656485014376</v>
      </c>
      <c r="E18">
        <f t="shared" si="4"/>
        <v>1227</v>
      </c>
      <c r="F18">
        <f t="shared" si="4"/>
        <v>0</v>
      </c>
      <c r="G18">
        <f t="shared" si="4"/>
        <v>300</v>
      </c>
      <c r="I18" s="5">
        <f>D18*C18</f>
        <v>234220120.91957036</v>
      </c>
      <c r="J18" s="39">
        <f t="shared" si="5"/>
        <v>312095223.79971373</v>
      </c>
      <c r="K18" s="5">
        <f>(G18*C18)+(E18*(C18-C17))</f>
        <v>168725339.99999994</v>
      </c>
      <c r="L18" s="5">
        <f t="shared" si="7"/>
        <v>286746213.09557295</v>
      </c>
      <c r="N18" s="5">
        <f t="shared" si="0"/>
        <v>128131973.02251594</v>
      </c>
      <c r="O18" s="5">
        <f t="shared" si="1"/>
        <v>414878186.1180889</v>
      </c>
      <c r="R18" s="150" t="s">
        <v>76</v>
      </c>
      <c r="S18" s="150"/>
      <c r="T18" s="150" t="s">
        <v>100</v>
      </c>
      <c r="U18" s="150"/>
      <c r="V18" s="150" t="s">
        <v>102</v>
      </c>
      <c r="W18" s="150"/>
    </row>
    <row r="19" spans="1:23" x14ac:dyDescent="0.35">
      <c r="A19">
        <v>2026</v>
      </c>
      <c r="B19">
        <v>9</v>
      </c>
      <c r="C19" s="36">
        <f t="shared" si="2"/>
        <v>429654.54545454535</v>
      </c>
      <c r="D19" s="2">
        <f t="shared" si="3"/>
        <v>605.70656485014376</v>
      </c>
      <c r="E19">
        <f t="shared" si="4"/>
        <v>1227</v>
      </c>
      <c r="F19">
        <f t="shared" si="4"/>
        <v>0</v>
      </c>
      <c r="G19">
        <f t="shared" si="4"/>
        <v>300</v>
      </c>
      <c r="I19" s="5">
        <f>D19*C19</f>
        <v>260244578.79952261</v>
      </c>
      <c r="J19" s="39">
        <f t="shared" si="5"/>
        <v>312095223.79971373</v>
      </c>
      <c r="K19" s="5">
        <f t="shared" si="6"/>
        <v>181614976.36363631</v>
      </c>
      <c r="L19" s="5">
        <f t="shared" si="7"/>
        <v>286686906.6124649</v>
      </c>
      <c r="N19" s="5">
        <f t="shared" si="0"/>
        <v>133256533.17148468</v>
      </c>
      <c r="O19" s="5">
        <f t="shared" si="1"/>
        <v>419943439.78394955</v>
      </c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f t="shared" si="2"/>
        <v>472619.99999999988</v>
      </c>
      <c r="D20" s="2">
        <f t="shared" si="3"/>
        <v>605.70656485014376</v>
      </c>
      <c r="E20">
        <f t="shared" si="4"/>
        <v>1227</v>
      </c>
      <c r="F20">
        <f t="shared" si="4"/>
        <v>0</v>
      </c>
      <c r="G20">
        <f t="shared" si="4"/>
        <v>300</v>
      </c>
      <c r="I20" s="5">
        <f t="shared" si="8"/>
        <v>286269036.67947489</v>
      </c>
      <c r="J20" s="39">
        <f t="shared" si="5"/>
        <v>312095223.79971373</v>
      </c>
      <c r="K20" s="5">
        <f t="shared" si="6"/>
        <v>194504612.72727269</v>
      </c>
      <c r="L20" s="5">
        <f t="shared" si="7"/>
        <v>286303702.38953477</v>
      </c>
      <c r="N20" s="5">
        <f t="shared" si="0"/>
        <v>137887979.31569681</v>
      </c>
      <c r="O20" s="5">
        <f t="shared" si="1"/>
        <v>424191681.70523155</v>
      </c>
      <c r="R20" s="32" t="s">
        <v>50</v>
      </c>
      <c r="S20" s="37">
        <v>2.661456678261819</v>
      </c>
      <c r="T20" s="32" t="s">
        <v>50</v>
      </c>
      <c r="U20" s="37">
        <v>2.2652925666064339</v>
      </c>
      <c r="V20" s="32" t="s">
        <v>50</v>
      </c>
      <c r="W20" s="37">
        <v>3.0576207899172054</v>
      </c>
    </row>
    <row r="21" spans="1:23" x14ac:dyDescent="0.35">
      <c r="A21">
        <v>2028</v>
      </c>
      <c r="B21">
        <v>11</v>
      </c>
      <c r="C21" s="36">
        <f>C20</f>
        <v>472619.99999999988</v>
      </c>
      <c r="D21" s="2">
        <f t="shared" si="3"/>
        <v>605.70656485014376</v>
      </c>
      <c r="E21">
        <f t="shared" si="4"/>
        <v>1227</v>
      </c>
      <c r="F21">
        <f t="shared" si="4"/>
        <v>0</v>
      </c>
      <c r="G21">
        <f t="shared" si="4"/>
        <v>300</v>
      </c>
      <c r="I21" s="5">
        <f>D21*C21</f>
        <v>286269036.67947489</v>
      </c>
      <c r="J21" s="39">
        <f t="shared" si="5"/>
        <v>312095223.79971373</v>
      </c>
      <c r="K21" s="5">
        <f t="shared" si="6"/>
        <v>141785999.99999997</v>
      </c>
      <c r="L21" s="5">
        <f t="shared" si="7"/>
        <v>312731322.49717659</v>
      </c>
      <c r="N21" s="5">
        <f t="shared" si="0"/>
        <v>97115712.966815203</v>
      </c>
      <c r="O21" s="5">
        <f t="shared" si="1"/>
        <v>409847035.46399182</v>
      </c>
      <c r="R21" s="32" t="s">
        <v>51</v>
      </c>
      <c r="S21" s="58">
        <v>4592695525.1274223</v>
      </c>
      <c r="T21" s="32" t="s">
        <v>51</v>
      </c>
      <c r="U21" s="58">
        <v>3497595564.5799999</v>
      </c>
      <c r="V21" s="32" t="s">
        <v>51</v>
      </c>
      <c r="W21" s="58">
        <v>5687795485.6748476</v>
      </c>
    </row>
    <row r="22" spans="1:23" x14ac:dyDescent="0.35">
      <c r="A22">
        <v>2029</v>
      </c>
      <c r="B22">
        <v>12</v>
      </c>
      <c r="C22" s="36">
        <f t="shared" ref="C22:C43" si="9">C21</f>
        <v>472619.99999999988</v>
      </c>
      <c r="D22" s="2">
        <f t="shared" si="3"/>
        <v>605.70656485014376</v>
      </c>
      <c r="E22">
        <f t="shared" si="4"/>
        <v>1227</v>
      </c>
      <c r="F22">
        <f t="shared" si="4"/>
        <v>0</v>
      </c>
      <c r="G22">
        <f t="shared" si="4"/>
        <v>300</v>
      </c>
      <c r="I22" s="5">
        <f t="shared" si="8"/>
        <v>286269036.67947489</v>
      </c>
      <c r="J22" s="39">
        <f t="shared" si="5"/>
        <v>312095223.79971373</v>
      </c>
      <c r="K22" s="5">
        <f t="shared" si="6"/>
        <v>141785999.99999997</v>
      </c>
      <c r="L22" s="5">
        <f t="shared" si="7"/>
        <v>302155867.14703053</v>
      </c>
      <c r="N22" s="5">
        <f t="shared" si="0"/>
        <v>93831606.731222421</v>
      </c>
      <c r="O22" s="5">
        <f t="shared" si="1"/>
        <v>395987473.87825298</v>
      </c>
      <c r="S22" s="26"/>
      <c r="U22" s="26"/>
      <c r="W22" s="26"/>
    </row>
    <row r="23" spans="1:23" x14ac:dyDescent="0.35">
      <c r="A23">
        <v>2030</v>
      </c>
      <c r="B23">
        <v>13</v>
      </c>
      <c r="C23" s="36">
        <f t="shared" si="9"/>
        <v>472619.99999999988</v>
      </c>
      <c r="D23" s="2">
        <f t="shared" si="3"/>
        <v>605.70656485014376</v>
      </c>
      <c r="E23">
        <f t="shared" si="4"/>
        <v>1227</v>
      </c>
      <c r="F23">
        <f t="shared" si="4"/>
        <v>0</v>
      </c>
      <c r="G23">
        <f t="shared" si="4"/>
        <v>300</v>
      </c>
      <c r="I23" s="5">
        <f>D23*C23</f>
        <v>286269036.67947489</v>
      </c>
      <c r="J23" s="39">
        <f t="shared" si="5"/>
        <v>312095223.79971373</v>
      </c>
      <c r="K23" s="5">
        <f t="shared" si="6"/>
        <v>141785999.99999997</v>
      </c>
      <c r="L23" s="5">
        <f t="shared" si="7"/>
        <v>291938035.89085084</v>
      </c>
      <c r="N23" s="5">
        <f t="shared" si="0"/>
        <v>90658557.228234246</v>
      </c>
      <c r="O23" s="5">
        <f t="shared" si="1"/>
        <v>382596593.11908513</v>
      </c>
      <c r="R23" s="152" t="s">
        <v>13</v>
      </c>
      <c r="S23" s="152"/>
      <c r="T23" s="152" t="s">
        <v>13</v>
      </c>
      <c r="U23" s="152"/>
      <c r="V23" s="152" t="s">
        <v>13</v>
      </c>
      <c r="W23" s="152"/>
    </row>
    <row r="24" spans="1:23" x14ac:dyDescent="0.35">
      <c r="A24">
        <v>2031</v>
      </c>
      <c r="B24">
        <v>14</v>
      </c>
      <c r="C24" s="36">
        <f t="shared" si="9"/>
        <v>472619.99999999988</v>
      </c>
      <c r="D24" s="2">
        <f t="shared" si="3"/>
        <v>605.70656485014376</v>
      </c>
      <c r="E24">
        <f t="shared" si="4"/>
        <v>1227</v>
      </c>
      <c r="F24">
        <f t="shared" si="4"/>
        <v>0</v>
      </c>
      <c r="G24">
        <f t="shared" si="4"/>
        <v>300</v>
      </c>
      <c r="I24" s="5">
        <f t="shared" si="8"/>
        <v>286269036.67947489</v>
      </c>
      <c r="J24" s="39">
        <f t="shared" si="5"/>
        <v>312095223.79971373</v>
      </c>
      <c r="K24" s="5">
        <f t="shared" si="6"/>
        <v>141785999.99999997</v>
      </c>
      <c r="L24" s="5">
        <f t="shared" si="7"/>
        <v>282065735.16024232</v>
      </c>
      <c r="N24" s="5">
        <f t="shared" si="0"/>
        <v>87592808.916168347</v>
      </c>
      <c r="O24" s="5">
        <f t="shared" si="1"/>
        <v>369658544.07641071</v>
      </c>
      <c r="R24" s="150" t="s">
        <v>77</v>
      </c>
      <c r="S24" s="150"/>
      <c r="T24" s="150" t="s">
        <v>101</v>
      </c>
      <c r="U24" s="150"/>
      <c r="V24" s="150" t="s">
        <v>103</v>
      </c>
      <c r="W24" s="150"/>
    </row>
    <row r="25" spans="1:23" x14ac:dyDescent="0.35">
      <c r="A25">
        <v>2032</v>
      </c>
      <c r="B25">
        <v>15</v>
      </c>
      <c r="C25" s="36">
        <f t="shared" si="9"/>
        <v>472619.99999999988</v>
      </c>
      <c r="D25" s="2">
        <f t="shared" si="3"/>
        <v>605.70656485014376</v>
      </c>
      <c r="E25">
        <f t="shared" si="4"/>
        <v>1227</v>
      </c>
      <c r="F25">
        <f t="shared" si="4"/>
        <v>0</v>
      </c>
      <c r="G25">
        <f t="shared" si="4"/>
        <v>300</v>
      </c>
      <c r="I25" s="5">
        <f t="shared" si="8"/>
        <v>286269036.67947489</v>
      </c>
      <c r="J25" s="39">
        <f t="shared" si="5"/>
        <v>312095223.79971373</v>
      </c>
      <c r="K25" s="5">
        <f t="shared" si="6"/>
        <v>141785999.99999997</v>
      </c>
      <c r="L25" s="5">
        <f t="shared" si="7"/>
        <v>272527280.34806025</v>
      </c>
      <c r="N25" s="5">
        <f t="shared" si="0"/>
        <v>84630733.252336577</v>
      </c>
      <c r="O25" s="5">
        <f t="shared" si="1"/>
        <v>357158013.60039687</v>
      </c>
      <c r="S25" s="66" t="s">
        <v>65</v>
      </c>
      <c r="U25" s="66" t="s">
        <v>65</v>
      </c>
      <c r="W25" s="66" t="s">
        <v>65</v>
      </c>
    </row>
    <row r="26" spans="1:23" x14ac:dyDescent="0.35">
      <c r="A26">
        <v>2033</v>
      </c>
      <c r="B26">
        <v>16</v>
      </c>
      <c r="C26" s="36">
        <f t="shared" si="9"/>
        <v>472619.99999999988</v>
      </c>
      <c r="D26" s="2">
        <f t="shared" si="3"/>
        <v>605.70656485014376</v>
      </c>
      <c r="E26">
        <f t="shared" si="4"/>
        <v>1227</v>
      </c>
      <c r="F26">
        <f t="shared" si="4"/>
        <v>0</v>
      </c>
      <c r="G26">
        <f t="shared" si="4"/>
        <v>300</v>
      </c>
      <c r="I26" s="5">
        <f t="shared" si="8"/>
        <v>286269036.67947489</v>
      </c>
      <c r="J26" s="39">
        <f t="shared" si="5"/>
        <v>312095223.79971373</v>
      </c>
      <c r="K26" s="5">
        <f t="shared" si="6"/>
        <v>141785999.99999997</v>
      </c>
      <c r="L26" s="5">
        <f t="shared" si="7"/>
        <v>263311381.97880223</v>
      </c>
      <c r="N26" s="5">
        <f t="shared" si="0"/>
        <v>81768824.398392841</v>
      </c>
      <c r="O26" s="5">
        <f t="shared" si="1"/>
        <v>345080206.37719512</v>
      </c>
      <c r="R26" s="32" t="s">
        <v>50</v>
      </c>
      <c r="S26" s="37">
        <v>3.4445608270217281</v>
      </c>
      <c r="T26" s="32" t="s">
        <v>50</v>
      </c>
      <c r="U26" s="37">
        <v>2.9078355549111761</v>
      </c>
      <c r="V26" s="32" t="s">
        <v>50</v>
      </c>
      <c r="W26" s="37">
        <v>3.9812860991322809</v>
      </c>
    </row>
    <row r="27" spans="1:23" x14ac:dyDescent="0.35">
      <c r="A27">
        <v>2034</v>
      </c>
      <c r="B27">
        <v>17</v>
      </c>
      <c r="C27" s="36">
        <f t="shared" si="9"/>
        <v>472619.99999999988</v>
      </c>
      <c r="D27" s="2">
        <f t="shared" si="3"/>
        <v>605.70656485014376</v>
      </c>
      <c r="E27">
        <f t="shared" si="4"/>
        <v>1227</v>
      </c>
      <c r="F27">
        <f t="shared" si="4"/>
        <v>0</v>
      </c>
      <c r="G27">
        <f t="shared" si="4"/>
        <v>300</v>
      </c>
      <c r="I27" s="5">
        <f t="shared" si="8"/>
        <v>286269036.67947489</v>
      </c>
      <c r="J27" s="39">
        <f t="shared" si="5"/>
        <v>312095223.79971373</v>
      </c>
      <c r="K27" s="5">
        <f t="shared" si="6"/>
        <v>141785999.99999997</v>
      </c>
      <c r="L27" s="5">
        <f t="shared" si="7"/>
        <v>254407132.34666884</v>
      </c>
      <c r="N27" s="5">
        <f t="shared" si="0"/>
        <v>79003695.07091096</v>
      </c>
      <c r="O27" s="5">
        <f t="shared" si="1"/>
        <v>333410827.41757983</v>
      </c>
      <c r="R27" s="32" t="s">
        <v>51</v>
      </c>
      <c r="S27" s="58">
        <v>6757397720.9625845</v>
      </c>
      <c r="T27" s="32" t="s">
        <v>51</v>
      </c>
      <c r="U27" s="58">
        <v>5273750396.4811697</v>
      </c>
      <c r="V27" s="32" t="s">
        <v>51</v>
      </c>
      <c r="W27" s="58">
        <v>8241045045.4440012</v>
      </c>
    </row>
    <row r="28" spans="1:23" x14ac:dyDescent="0.35">
      <c r="A28">
        <v>2035</v>
      </c>
      <c r="B28">
        <v>18</v>
      </c>
      <c r="C28" s="36">
        <f t="shared" si="9"/>
        <v>472619.99999999988</v>
      </c>
      <c r="D28" s="2">
        <f t="shared" si="3"/>
        <v>605.70656485014376</v>
      </c>
      <c r="E28">
        <f t="shared" ref="E28:G43" si="10">E27</f>
        <v>1227</v>
      </c>
      <c r="F28">
        <f t="shared" si="10"/>
        <v>0</v>
      </c>
      <c r="G28">
        <f t="shared" si="10"/>
        <v>300</v>
      </c>
      <c r="I28" s="5">
        <f>D28*C28</f>
        <v>286269036.67947489</v>
      </c>
      <c r="J28" s="39">
        <f t="shared" si="5"/>
        <v>312095223.79971373</v>
      </c>
      <c r="K28" s="5">
        <f t="shared" si="6"/>
        <v>141785999.99999997</v>
      </c>
      <c r="L28" s="5">
        <f t="shared" si="7"/>
        <v>245803992.60547715</v>
      </c>
      <c r="N28" s="5">
        <f t="shared" si="0"/>
        <v>76332072.532281131</v>
      </c>
      <c r="O28" s="5">
        <f t="shared" si="1"/>
        <v>322136065.13775831</v>
      </c>
      <c r="R28" s="70"/>
      <c r="S28" s="70"/>
      <c r="T28" s="70"/>
    </row>
    <row r="29" spans="1:23" x14ac:dyDescent="0.35">
      <c r="A29">
        <v>2036</v>
      </c>
      <c r="B29">
        <v>19</v>
      </c>
      <c r="C29" s="36">
        <f t="shared" si="9"/>
        <v>472619.99999999988</v>
      </c>
      <c r="D29" s="2">
        <f t="shared" si="3"/>
        <v>605.70656485014376</v>
      </c>
      <c r="E29">
        <f t="shared" si="10"/>
        <v>1227</v>
      </c>
      <c r="F29">
        <f t="shared" si="10"/>
        <v>0</v>
      </c>
      <c r="G29">
        <f t="shared" si="10"/>
        <v>300</v>
      </c>
      <c r="I29" s="5">
        <f t="shared" si="8"/>
        <v>286269036.67947489</v>
      </c>
      <c r="J29" s="39">
        <f t="shared" si="5"/>
        <v>312095223.79971373</v>
      </c>
      <c r="K29" s="5">
        <f t="shared" si="6"/>
        <v>141785999.99999997</v>
      </c>
      <c r="L29" s="5">
        <f t="shared" si="7"/>
        <v>237491780.29514703</v>
      </c>
      <c r="N29" s="5">
        <f t="shared" si="0"/>
        <v>73750794.71717985</v>
      </c>
      <c r="O29" s="5">
        <f t="shared" si="1"/>
        <v>311242575.0123269</v>
      </c>
      <c r="Q29" s="32"/>
      <c r="R29" s="71"/>
      <c r="S29" s="71"/>
      <c r="T29" s="71"/>
      <c r="U29" s="5"/>
    </row>
    <row r="30" spans="1:23" x14ac:dyDescent="0.35">
      <c r="A30">
        <v>2037</v>
      </c>
      <c r="B30">
        <v>20</v>
      </c>
      <c r="C30" s="36">
        <f t="shared" si="9"/>
        <v>472619.99999999988</v>
      </c>
      <c r="D30" s="2">
        <f t="shared" si="3"/>
        <v>605.70656485014376</v>
      </c>
      <c r="E30">
        <f t="shared" si="10"/>
        <v>1227</v>
      </c>
      <c r="F30">
        <f t="shared" si="10"/>
        <v>0</v>
      </c>
      <c r="G30">
        <f t="shared" si="10"/>
        <v>300</v>
      </c>
      <c r="I30" s="5">
        <f t="shared" si="8"/>
        <v>286269036.67947489</v>
      </c>
      <c r="J30" s="39">
        <f t="shared" si="5"/>
        <v>312095223.79971373</v>
      </c>
      <c r="K30" s="5">
        <f t="shared" si="6"/>
        <v>141785999.99999997</v>
      </c>
      <c r="L30" s="5">
        <f t="shared" si="7"/>
        <v>229460657.28999716</v>
      </c>
      <c r="N30" s="5">
        <f t="shared" si="0"/>
        <v>71256806.490028843</v>
      </c>
      <c r="O30" s="5">
        <f t="shared" si="1"/>
        <v>300717463.78002602</v>
      </c>
      <c r="Q30" s="69"/>
      <c r="R30" s="69"/>
      <c r="S30" s="83"/>
      <c r="T30" s="83"/>
      <c r="U30" s="69"/>
    </row>
    <row r="31" spans="1:23" x14ac:dyDescent="0.35">
      <c r="A31">
        <v>2038</v>
      </c>
      <c r="B31">
        <v>21</v>
      </c>
      <c r="C31" s="36">
        <f t="shared" si="9"/>
        <v>472619.99999999988</v>
      </c>
      <c r="D31" s="2">
        <f t="shared" si="3"/>
        <v>605.70656485014376</v>
      </c>
      <c r="E31">
        <f t="shared" si="10"/>
        <v>1227</v>
      </c>
      <c r="F31">
        <f t="shared" si="10"/>
        <v>0</v>
      </c>
      <c r="G31">
        <f t="shared" si="10"/>
        <v>300</v>
      </c>
      <c r="I31" s="5">
        <f t="shared" si="8"/>
        <v>286269036.67947489</v>
      </c>
      <c r="J31" s="39">
        <f t="shared" si="5"/>
        <v>312095223.79971373</v>
      </c>
      <c r="K31" s="5">
        <f t="shared" si="6"/>
        <v>141785999.99999997</v>
      </c>
      <c r="L31" s="5">
        <f t="shared" si="7"/>
        <v>221701118.15458667</v>
      </c>
      <c r="N31" s="5">
        <f t="shared" si="0"/>
        <v>68847156.02901338</v>
      </c>
      <c r="O31" s="5">
        <f t="shared" si="1"/>
        <v>290548274.18360007</v>
      </c>
      <c r="Q31" s="69"/>
      <c r="R31" s="68"/>
      <c r="S31" s="62"/>
      <c r="T31" s="62"/>
      <c r="U31" s="70"/>
    </row>
    <row r="32" spans="1:23" x14ac:dyDescent="0.35">
      <c r="A32">
        <v>2039</v>
      </c>
      <c r="B32">
        <v>22</v>
      </c>
      <c r="C32" s="36">
        <f t="shared" si="9"/>
        <v>472619.99999999988</v>
      </c>
      <c r="D32" s="2">
        <f t="shared" si="3"/>
        <v>605.70656485014376</v>
      </c>
      <c r="E32">
        <f t="shared" si="10"/>
        <v>1227</v>
      </c>
      <c r="F32">
        <f t="shared" si="10"/>
        <v>0</v>
      </c>
      <c r="G32">
        <f t="shared" si="10"/>
        <v>300</v>
      </c>
      <c r="I32" s="5">
        <f t="shared" si="8"/>
        <v>286269036.67947489</v>
      </c>
      <c r="J32" s="39">
        <f t="shared" si="5"/>
        <v>312095223.79971373</v>
      </c>
      <c r="K32" s="5">
        <f t="shared" si="6"/>
        <v>141785999.99999997</v>
      </c>
      <c r="L32" s="5">
        <f t="shared" si="7"/>
        <v>214203978.89332044</v>
      </c>
      <c r="N32" s="5">
        <f t="shared" si="0"/>
        <v>66518991.332380079</v>
      </c>
      <c r="O32" s="5">
        <f>(I32+J32)/(1+$J$5)^$B32</f>
        <v>280722970.22570056</v>
      </c>
      <c r="Q32" s="69"/>
      <c r="R32" s="68"/>
      <c r="S32" s="63"/>
      <c r="T32" s="63"/>
      <c r="U32" s="71"/>
    </row>
    <row r="33" spans="1:21" x14ac:dyDescent="0.35">
      <c r="A33">
        <v>2040</v>
      </c>
      <c r="B33">
        <v>23</v>
      </c>
      <c r="C33" s="36">
        <f t="shared" si="9"/>
        <v>472619.99999999988</v>
      </c>
      <c r="D33" s="2">
        <f t="shared" si="3"/>
        <v>605.70656485014376</v>
      </c>
      <c r="E33">
        <f t="shared" si="10"/>
        <v>1227</v>
      </c>
      <c r="F33">
        <f t="shared" si="10"/>
        <v>0</v>
      </c>
      <c r="G33">
        <f t="shared" si="10"/>
        <v>300</v>
      </c>
      <c r="I33" s="5">
        <f t="shared" si="8"/>
        <v>286269036.67947489</v>
      </c>
      <c r="J33" s="39">
        <f t="shared" si="5"/>
        <v>312095223.79971373</v>
      </c>
      <c r="K33" s="5">
        <f t="shared" si="6"/>
        <v>141785999.99999997</v>
      </c>
      <c r="L33" s="5">
        <f t="shared" si="7"/>
        <v>206960366.08050284</v>
      </c>
      <c r="N33" s="5">
        <f>(K33)/(1+$J$5)^$B33</f>
        <v>64269556.842879303</v>
      </c>
      <c r="O33" s="5">
        <f t="shared" si="1"/>
        <v>271229922.92338216</v>
      </c>
      <c r="Q33" s="69"/>
      <c r="R33" s="71"/>
      <c r="S33" s="71"/>
      <c r="T33" s="71"/>
      <c r="U33" s="72"/>
    </row>
    <row r="34" spans="1:21" x14ac:dyDescent="0.35">
      <c r="A34">
        <v>2041</v>
      </c>
      <c r="B34">
        <v>24</v>
      </c>
      <c r="C34" s="36">
        <f t="shared" si="9"/>
        <v>472619.99999999988</v>
      </c>
      <c r="D34" s="2">
        <f t="shared" si="3"/>
        <v>605.70656485014376</v>
      </c>
      <c r="E34">
        <f t="shared" si="10"/>
        <v>1227</v>
      </c>
      <c r="F34">
        <f t="shared" si="10"/>
        <v>0</v>
      </c>
      <c r="G34">
        <f t="shared" si="10"/>
        <v>300</v>
      </c>
      <c r="I34" s="5">
        <f t="shared" si="8"/>
        <v>286269036.67947489</v>
      </c>
      <c r="J34" s="39">
        <f t="shared" si="5"/>
        <v>312095223.79971373</v>
      </c>
      <c r="K34" s="5">
        <f t="shared" si="6"/>
        <v>141785999.99999997</v>
      </c>
      <c r="L34" s="5">
        <f t="shared" si="7"/>
        <v>199961706.35797381</v>
      </c>
      <c r="N34" s="5">
        <f t="shared" si="0"/>
        <v>62096190.186356828</v>
      </c>
      <c r="O34" s="5">
        <f t="shared" si="1"/>
        <v>262057896.54433066</v>
      </c>
      <c r="Q34" s="68"/>
      <c r="R34" s="69"/>
      <c r="S34" s="83"/>
      <c r="T34" s="83"/>
      <c r="U34" s="62"/>
    </row>
    <row r="35" spans="1:21" x14ac:dyDescent="0.35">
      <c r="A35">
        <v>2042</v>
      </c>
      <c r="B35">
        <v>25</v>
      </c>
      <c r="C35" s="36">
        <f t="shared" si="9"/>
        <v>472619.99999999988</v>
      </c>
      <c r="D35" s="2">
        <f t="shared" si="3"/>
        <v>605.70656485014376</v>
      </c>
      <c r="E35">
        <f t="shared" si="10"/>
        <v>1227</v>
      </c>
      <c r="F35">
        <f t="shared" si="10"/>
        <v>0</v>
      </c>
      <c r="G35">
        <f t="shared" si="10"/>
        <v>300</v>
      </c>
      <c r="I35" s="5">
        <f t="shared" si="8"/>
        <v>286269036.67947489</v>
      </c>
      <c r="J35" s="39">
        <f t="shared" si="5"/>
        <v>312095223.79971373</v>
      </c>
      <c r="K35" s="5">
        <f t="shared" si="6"/>
        <v>141785999.99999997</v>
      </c>
      <c r="L35" s="5">
        <f t="shared" si="7"/>
        <v>193199716.28789741</v>
      </c>
      <c r="N35" s="5">
        <f t="shared" si="0"/>
        <v>59996319.020634621</v>
      </c>
      <c r="O35" s="5">
        <f t="shared" si="1"/>
        <v>253196035.30853206</v>
      </c>
      <c r="Q35" s="68"/>
      <c r="R35" s="68"/>
      <c r="S35" s="62"/>
      <c r="T35" s="62"/>
      <c r="U35" s="62"/>
    </row>
    <row r="36" spans="1:21" x14ac:dyDescent="0.35">
      <c r="A36">
        <v>2043</v>
      </c>
      <c r="B36">
        <v>26</v>
      </c>
      <c r="C36" s="36">
        <f t="shared" si="9"/>
        <v>472619.99999999988</v>
      </c>
      <c r="D36" s="2">
        <f t="shared" si="3"/>
        <v>605.70656485014376</v>
      </c>
      <c r="E36">
        <f t="shared" si="10"/>
        <v>1227</v>
      </c>
      <c r="F36">
        <f t="shared" si="10"/>
        <v>0</v>
      </c>
      <c r="G36">
        <f t="shared" si="10"/>
        <v>300</v>
      </c>
      <c r="I36" s="5">
        <f t="shared" si="8"/>
        <v>286269036.67947489</v>
      </c>
      <c r="J36" s="39">
        <f t="shared" si="5"/>
        <v>312095223.79971373</v>
      </c>
      <c r="K36" s="5">
        <f t="shared" si="6"/>
        <v>141785999.99999997</v>
      </c>
      <c r="L36" s="5">
        <f t="shared" si="7"/>
        <v>186666392.54869315</v>
      </c>
      <c r="N36" s="5">
        <f t="shared" si="0"/>
        <v>57967457.990951329</v>
      </c>
      <c r="O36" s="5">
        <f t="shared" si="1"/>
        <v>244633850.53964451</v>
      </c>
      <c r="Q36" s="68"/>
      <c r="R36" s="68"/>
      <c r="S36" s="63"/>
      <c r="T36" s="63"/>
      <c r="U36" s="63"/>
    </row>
    <row r="37" spans="1:21" x14ac:dyDescent="0.35">
      <c r="A37">
        <v>2044</v>
      </c>
      <c r="B37">
        <v>27</v>
      </c>
      <c r="C37" s="36">
        <f t="shared" si="9"/>
        <v>472619.99999999988</v>
      </c>
      <c r="D37" s="2">
        <f t="shared" si="3"/>
        <v>605.70656485014376</v>
      </c>
      <c r="E37">
        <f t="shared" si="10"/>
        <v>1227</v>
      </c>
      <c r="F37">
        <f t="shared" si="10"/>
        <v>0</v>
      </c>
      <c r="G37">
        <f t="shared" si="10"/>
        <v>300</v>
      </c>
      <c r="I37" s="5">
        <f t="shared" si="8"/>
        <v>286269036.67947489</v>
      </c>
      <c r="J37" s="39">
        <f t="shared" si="5"/>
        <v>312095223.79971373</v>
      </c>
      <c r="K37" s="5">
        <f>(G37*C37)+(E37*(C37-C36))</f>
        <v>141785999.99999997</v>
      </c>
      <c r="L37" s="5">
        <f>(I37+J37-K37)/(1+$J$5)^B37</f>
        <v>180354002.46250546</v>
      </c>
      <c r="N37" s="5">
        <f t="shared" si="0"/>
        <v>56007205.78835877</v>
      </c>
      <c r="O37" s="5">
        <f t="shared" si="1"/>
        <v>236361208.25086424</v>
      </c>
      <c r="Q37" s="68"/>
      <c r="R37" s="63"/>
      <c r="S37" s="63"/>
      <c r="T37" s="63"/>
      <c r="U37" s="63"/>
    </row>
    <row r="38" spans="1:21" x14ac:dyDescent="0.35">
      <c r="A38">
        <v>2045</v>
      </c>
      <c r="B38">
        <v>28</v>
      </c>
      <c r="C38" s="36">
        <f t="shared" si="9"/>
        <v>472619.99999999988</v>
      </c>
      <c r="D38" s="2">
        <f t="shared" si="3"/>
        <v>605.70656485014376</v>
      </c>
      <c r="E38">
        <f t="shared" si="10"/>
        <v>1227</v>
      </c>
      <c r="F38">
        <f t="shared" si="10"/>
        <v>0</v>
      </c>
      <c r="G38">
        <f t="shared" si="10"/>
        <v>300</v>
      </c>
      <c r="I38" s="5">
        <f t="shared" si="8"/>
        <v>286269036.67947489</v>
      </c>
      <c r="J38" s="39">
        <f t="shared" si="5"/>
        <v>312095223.79971373</v>
      </c>
      <c r="K38" s="5">
        <f t="shared" si="6"/>
        <v>141785999.99999997</v>
      </c>
      <c r="L38" s="5">
        <f t="shared" si="7"/>
        <v>174255074.84300044</v>
      </c>
      <c r="N38" s="5">
        <f t="shared" si="0"/>
        <v>54113242.307593018</v>
      </c>
      <c r="O38" s="5">
        <f>(I38+J38)/(1+$J$5)^$B38</f>
        <v>228368317.15059349</v>
      </c>
      <c r="Q38" s="69"/>
      <c r="R38" s="71"/>
      <c r="S38" s="71"/>
      <c r="T38" s="71"/>
      <c r="U38" s="71"/>
    </row>
    <row r="39" spans="1:21" x14ac:dyDescent="0.35">
      <c r="A39">
        <v>2046</v>
      </c>
      <c r="B39">
        <v>29</v>
      </c>
      <c r="C39" s="36">
        <f t="shared" si="9"/>
        <v>472619.99999999988</v>
      </c>
      <c r="D39" s="2">
        <f t="shared" si="3"/>
        <v>605.70656485014376</v>
      </c>
      <c r="E39">
        <f t="shared" si="10"/>
        <v>1227</v>
      </c>
      <c r="F39">
        <f t="shared" si="10"/>
        <v>0</v>
      </c>
      <c r="G39">
        <f t="shared" si="10"/>
        <v>300</v>
      </c>
      <c r="I39" s="5">
        <f t="shared" si="8"/>
        <v>286269036.67947489</v>
      </c>
      <c r="J39" s="39">
        <f t="shared" si="5"/>
        <v>312095223.79971373</v>
      </c>
      <c r="K39" s="5">
        <f t="shared" si="6"/>
        <v>141785999.99999997</v>
      </c>
      <c r="L39" s="5">
        <f t="shared" si="7"/>
        <v>168362391.15265748</v>
      </c>
      <c r="N39" s="5">
        <f>(K39)/(1+$J$5)^$B39</f>
        <v>52283325.901056066</v>
      </c>
      <c r="O39" s="5">
        <f t="shared" si="1"/>
        <v>220645717.05371356</v>
      </c>
      <c r="Q39" s="69"/>
      <c r="R39" s="72"/>
      <c r="S39" s="72"/>
      <c r="T39" s="72"/>
      <c r="U39" s="72"/>
    </row>
    <row r="40" spans="1:21" x14ac:dyDescent="0.35">
      <c r="A40">
        <v>2047</v>
      </c>
      <c r="B40">
        <v>30</v>
      </c>
      <c r="C40" s="36">
        <f t="shared" si="9"/>
        <v>472619.99999999988</v>
      </c>
      <c r="D40" s="2">
        <f t="shared" si="3"/>
        <v>605.70656485014376</v>
      </c>
      <c r="E40">
        <f t="shared" si="10"/>
        <v>1227</v>
      </c>
      <c r="F40">
        <f t="shared" si="10"/>
        <v>0</v>
      </c>
      <c r="G40">
        <f t="shared" si="10"/>
        <v>300</v>
      </c>
      <c r="I40" s="5">
        <f t="shared" si="8"/>
        <v>286269036.67947489</v>
      </c>
      <c r="J40" s="39">
        <f t="shared" si="5"/>
        <v>312095223.79971373</v>
      </c>
      <c r="K40" s="5">
        <f t="shared" si="6"/>
        <v>141785999.99999997</v>
      </c>
      <c r="L40" s="5">
        <f>(I40+J40-K40)/(1+$J$5)^B40</f>
        <v>162668976.95908934</v>
      </c>
      <c r="N40" s="5">
        <f t="shared" si="0"/>
        <v>50515290.725658029</v>
      </c>
      <c r="O40" s="5">
        <f t="shared" si="1"/>
        <v>213184267.68474737</v>
      </c>
      <c r="Q40" s="68"/>
      <c r="R40" s="62"/>
      <c r="S40" s="62"/>
      <c r="T40" s="62"/>
      <c r="U40" s="62"/>
    </row>
    <row r="41" spans="1:21" x14ac:dyDescent="0.35">
      <c r="A41">
        <v>2048</v>
      </c>
      <c r="B41">
        <v>31</v>
      </c>
      <c r="C41" s="36">
        <f t="shared" si="9"/>
        <v>472619.99999999988</v>
      </c>
      <c r="D41" s="2">
        <f t="shared" si="3"/>
        <v>605.70656485014376</v>
      </c>
      <c r="E41">
        <f t="shared" si="10"/>
        <v>1227</v>
      </c>
      <c r="F41">
        <f t="shared" si="10"/>
        <v>0</v>
      </c>
      <c r="G41">
        <f t="shared" si="10"/>
        <v>300</v>
      </c>
      <c r="I41" s="5">
        <f t="shared" si="8"/>
        <v>286269036.67947489</v>
      </c>
      <c r="J41" s="39">
        <f t="shared" si="5"/>
        <v>312095223.79971373</v>
      </c>
      <c r="K41" s="5">
        <f t="shared" si="6"/>
        <v>141785999.99999997</v>
      </c>
      <c r="L41" s="5">
        <f>(I41+J41-K41)/(1+$J$6)^B41</f>
        <v>182625434.95168018</v>
      </c>
      <c r="N41" s="5">
        <f>(K41)/(1+$J$6)^$B41</f>
        <v>56712577.36380811</v>
      </c>
      <c r="O41" s="5">
        <f>(I41+J41)/(1+$J$6)^$B41</f>
        <v>239338012.31548831</v>
      </c>
      <c r="Q41" s="68"/>
      <c r="R41" s="62"/>
      <c r="S41" s="62"/>
      <c r="T41" s="62"/>
      <c r="U41" s="62"/>
    </row>
    <row r="42" spans="1:21" x14ac:dyDescent="0.35">
      <c r="A42">
        <v>2049</v>
      </c>
      <c r="B42">
        <v>32</v>
      </c>
      <c r="C42" s="36">
        <f t="shared" si="9"/>
        <v>472619.99999999988</v>
      </c>
      <c r="D42" s="2">
        <f t="shared" si="3"/>
        <v>605.70656485014376</v>
      </c>
      <c r="E42">
        <f t="shared" si="10"/>
        <v>1227</v>
      </c>
      <c r="F42">
        <f t="shared" si="10"/>
        <v>0</v>
      </c>
      <c r="G42">
        <f t="shared" si="10"/>
        <v>300</v>
      </c>
      <c r="I42" s="5">
        <f>D42*C42</f>
        <v>286269036.67947489</v>
      </c>
      <c r="J42" s="39">
        <f t="shared" si="5"/>
        <v>312095223.79971373</v>
      </c>
      <c r="K42" s="5">
        <f t="shared" si="6"/>
        <v>141785999.99999997</v>
      </c>
      <c r="L42" s="5">
        <f>(I42+J42-K42)/(1+$J$6)^B42</f>
        <v>177306247.52590311</v>
      </c>
      <c r="N42" s="5">
        <f>(K42)/(1+$J$6)^$B42</f>
        <v>55060754.722143807</v>
      </c>
      <c r="O42" s="5">
        <f>(I42+J42)/(1+$J$6)^$B42</f>
        <v>232367002.24804693</v>
      </c>
      <c r="Q42" s="68"/>
      <c r="R42" s="63"/>
      <c r="S42" s="63"/>
      <c r="T42" s="63"/>
      <c r="U42" s="63"/>
    </row>
    <row r="43" spans="1:21" x14ac:dyDescent="0.35">
      <c r="A43">
        <v>2050</v>
      </c>
      <c r="B43">
        <v>33</v>
      </c>
      <c r="C43" s="36">
        <f t="shared" si="9"/>
        <v>472619.99999999988</v>
      </c>
      <c r="D43" s="2">
        <f t="shared" si="3"/>
        <v>605.70656485014376</v>
      </c>
      <c r="E43">
        <f t="shared" si="10"/>
        <v>1227</v>
      </c>
      <c r="F43">
        <f t="shared" si="10"/>
        <v>0</v>
      </c>
      <c r="G43">
        <f t="shared" si="10"/>
        <v>300</v>
      </c>
      <c r="I43" s="5">
        <f t="shared" si="8"/>
        <v>286269036.67947489</v>
      </c>
      <c r="J43" s="39">
        <f t="shared" si="5"/>
        <v>312095223.79971373</v>
      </c>
      <c r="K43" s="5">
        <f t="shared" si="6"/>
        <v>141785999.99999997</v>
      </c>
      <c r="L43" s="5">
        <f>(I43+J43-K43)/(1+$J$6)^B43</f>
        <v>172141987.88922632</v>
      </c>
      <c r="N43" s="5">
        <f>(K43)/(1+$J$6)^$B43</f>
        <v>53457043.419557095</v>
      </c>
      <c r="O43" s="5">
        <f>(I43+J43)/(1+$J$6)^$B43</f>
        <v>225599031.30878341</v>
      </c>
      <c r="Q43" s="68"/>
      <c r="R43" s="63"/>
      <c r="S43" s="63"/>
      <c r="T43" s="63"/>
      <c r="U43" s="63"/>
    </row>
    <row r="44" spans="1:21" ht="15" thickBot="1" x14ac:dyDescent="0.4">
      <c r="Q44" s="69"/>
      <c r="R44" s="69"/>
      <c r="S44" s="69"/>
      <c r="T44" s="69"/>
      <c r="U44" s="69"/>
    </row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8241045045.4440012</v>
      </c>
      <c r="N45" s="5">
        <f>SUM(N10:N43)</f>
        <v>2764258367.5020661</v>
      </c>
      <c r="O45" s="5">
        <f>SUM(O10:O43)</f>
        <v>11005303412.946068</v>
      </c>
      <c r="Q45" s="69"/>
      <c r="R45" s="69"/>
      <c r="S45" s="69"/>
      <c r="T45" s="69"/>
      <c r="U45" s="69"/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3.9812860991322809</v>
      </c>
    </row>
    <row r="49" spans="3:15" x14ac:dyDescent="0.35">
      <c r="C49" s="36"/>
      <c r="D49" s="2"/>
      <c r="I49" s="5"/>
      <c r="J49" s="39"/>
      <c r="K49" s="5"/>
      <c r="L49" s="5"/>
      <c r="N49" s="5"/>
      <c r="O49" s="5"/>
    </row>
    <row r="50" spans="3:15" x14ac:dyDescent="0.35">
      <c r="C50" s="142" t="s">
        <v>166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5"/>
    </row>
    <row r="51" spans="3:15" x14ac:dyDescent="0.35"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5"/>
    </row>
  </sheetData>
  <mergeCells count="18">
    <mergeCell ref="T24:U24"/>
    <mergeCell ref="V17:W17"/>
    <mergeCell ref="V18:W18"/>
    <mergeCell ref="V23:W23"/>
    <mergeCell ref="V24:W24"/>
    <mergeCell ref="T9:U9"/>
    <mergeCell ref="V9:W9"/>
    <mergeCell ref="T17:U17"/>
    <mergeCell ref="T18:U18"/>
    <mergeCell ref="T23:U23"/>
    <mergeCell ref="C50:N51"/>
    <mergeCell ref="I46:J46"/>
    <mergeCell ref="I8:J8"/>
    <mergeCell ref="R9:S9"/>
    <mergeCell ref="R17:S17"/>
    <mergeCell ref="R18:S18"/>
    <mergeCell ref="R23:S23"/>
    <mergeCell ref="R24:S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0" zoomScaleNormal="70" workbookViewId="0">
      <selection activeCell="B3" sqref="B3"/>
    </sheetView>
  </sheetViews>
  <sheetFormatPr defaultRowHeight="14.5" x14ac:dyDescent="0.35"/>
  <cols>
    <col min="3" max="3" width="11" bestFit="1" customWidth="1"/>
    <col min="4" max="4" width="10.26953125" customWidth="1"/>
    <col min="6" max="6" width="11.26953125" customWidth="1"/>
    <col min="7" max="7" width="11.7265625" customWidth="1"/>
    <col min="8" max="8" width="14.7265625" customWidth="1"/>
    <col min="9" max="9" width="18.54296875" customWidth="1"/>
    <col min="10" max="11" width="17.7265625" bestFit="1" customWidth="1"/>
    <col min="12" max="12" width="26.453125" bestFit="1" customWidth="1"/>
    <col min="14" max="14" width="20.54296875" customWidth="1"/>
    <col min="15" max="15" width="25" bestFit="1" customWidth="1"/>
    <col min="17" max="17" width="19.81640625" customWidth="1"/>
    <col min="18" max="18" width="36.81640625" customWidth="1"/>
    <col min="19" max="19" width="29.26953125" customWidth="1"/>
    <col min="20" max="20" width="38.453125" bestFit="1" customWidth="1"/>
    <col min="21" max="21" width="26.7265625" bestFit="1" customWidth="1"/>
    <col min="22" max="22" width="38.453125" bestFit="1" customWidth="1"/>
    <col min="23" max="23" width="32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183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Q9" s="38"/>
      <c r="R9" s="153" t="s">
        <v>89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v>0</v>
      </c>
      <c r="D10" s="87">
        <f>V12</f>
        <v>923.52834276974863</v>
      </c>
      <c r="E10" s="88">
        <v>1227</v>
      </c>
      <c r="F10">
        <v>0</v>
      </c>
      <c r="G10" s="88">
        <v>300</v>
      </c>
      <c r="I10" s="5">
        <f>D10*C10</f>
        <v>0</v>
      </c>
      <c r="J10" s="85">
        <f>0</f>
        <v>0</v>
      </c>
      <c r="K10" s="89">
        <f>(G10*C10)+(E10*C10)</f>
        <v>0</v>
      </c>
      <c r="L10" s="5">
        <f t="shared" ref="L10:L40" si="0">(I10+J10-K10)/(1+$J$5)^B10</f>
        <v>0</v>
      </c>
      <c r="N10" s="5">
        <f>(K10)/(1+$J$5)^$B10</f>
        <v>0</v>
      </c>
      <c r="O10" s="5">
        <f>(I10+J10)/(1+$J$5)^$B10</f>
        <v>0</v>
      </c>
      <c r="R10" s="64" t="s">
        <v>68</v>
      </c>
      <c r="S10" s="28" t="s">
        <v>80</v>
      </c>
      <c r="T10" s="76" t="s">
        <v>68</v>
      </c>
      <c r="U10" s="28" t="s">
        <v>80</v>
      </c>
      <c r="V10" s="76" t="s">
        <v>68</v>
      </c>
      <c r="W10" s="28" t="s">
        <v>80</v>
      </c>
    </row>
    <row r="11" spans="1:23" ht="15" thickBot="1" x14ac:dyDescent="0.4">
      <c r="A11">
        <v>2018</v>
      </c>
      <c r="B11">
        <v>1</v>
      </c>
      <c r="C11" s="36">
        <v>0</v>
      </c>
      <c r="D11" s="2">
        <f>$D$10</f>
        <v>923.52834276974863</v>
      </c>
      <c r="E11">
        <f>E10</f>
        <v>1227</v>
      </c>
      <c r="F11">
        <v>0</v>
      </c>
      <c r="G11">
        <f>G10</f>
        <v>300</v>
      </c>
      <c r="I11" s="5">
        <f t="shared" ref="I11:I43" si="1">D11*C11</f>
        <v>0</v>
      </c>
      <c r="J11" s="39">
        <f t="shared" ref="J11:J20" si="2">$J$10</f>
        <v>0</v>
      </c>
      <c r="K11" s="89">
        <f>(G11*C11)+(E11*(C11-C10))</f>
        <v>0</v>
      </c>
      <c r="L11" s="5">
        <f t="shared" si="0"/>
        <v>0</v>
      </c>
      <c r="N11" s="5">
        <f t="shared" ref="N11:N39" si="3">(K11)/(1+$J$5)^$B11</f>
        <v>0</v>
      </c>
      <c r="O11" s="5">
        <f t="shared" ref="O11:O40" si="4">(I11+J11)/(1+$J$5)^$B11</f>
        <v>0</v>
      </c>
      <c r="Q11" t="s">
        <v>43</v>
      </c>
      <c r="R11" s="44">
        <f>'BCA - WTP per ha &amp; per year'!B19</f>
        <v>693.67356066751097</v>
      </c>
      <c r="S11" s="44">
        <f>'BCA - WTP per ha &amp; per year'!$B$25</f>
        <v>137995426.09910053</v>
      </c>
      <c r="T11" s="44">
        <f>'BCA - WTP per ha &amp; per year'!$B$35</f>
        <v>559.96858051454444</v>
      </c>
      <c r="U11" s="44">
        <f>'BCA - WTP per ha &amp; per year'!$B$39</f>
        <v>113706165.73898624</v>
      </c>
      <c r="V11" s="44">
        <f>'BCA - WTP per ha &amp; per year'!$B$60</f>
        <v>827.37854082047727</v>
      </c>
      <c r="W11" s="44">
        <f>'BCA - WTP per ha &amp; per year'!$B$64</f>
        <v>162284686.45921484</v>
      </c>
    </row>
    <row r="12" spans="1:23" ht="15" thickBot="1" x14ac:dyDescent="0.4">
      <c r="A12">
        <v>2019</v>
      </c>
      <c r="B12">
        <v>2</v>
      </c>
      <c r="C12" s="36">
        <v>0</v>
      </c>
      <c r="D12" s="2">
        <f t="shared" ref="D12:D43" si="5">$D$10</f>
        <v>923.52834276974863</v>
      </c>
      <c r="E12">
        <f t="shared" ref="E12:G27" si="6">E11</f>
        <v>1227</v>
      </c>
      <c r="F12">
        <f t="shared" si="6"/>
        <v>0</v>
      </c>
      <c r="G12">
        <f t="shared" si="6"/>
        <v>300</v>
      </c>
      <c r="I12" s="5">
        <f t="shared" si="1"/>
        <v>0</v>
      </c>
      <c r="J12" s="39">
        <f t="shared" si="2"/>
        <v>0</v>
      </c>
      <c r="K12" s="10">
        <f t="shared" ref="K12:K43" si="7">(G12*C12)+(E12*(C12-C11))</f>
        <v>0</v>
      </c>
      <c r="L12" s="5">
        <f t="shared" si="0"/>
        <v>0</v>
      </c>
      <c r="N12" s="5">
        <f t="shared" si="3"/>
        <v>0</v>
      </c>
      <c r="O12" s="5">
        <f t="shared" si="4"/>
        <v>0</v>
      </c>
      <c r="Q12" t="s">
        <v>44</v>
      </c>
      <c r="R12" s="44">
        <f>'BCA - WTP per ha &amp; per year'!E19</f>
        <v>769.46078112838177</v>
      </c>
      <c r="S12" s="82">
        <f>'BCA - WTP per ha &amp; per year'!$C$25</f>
        <v>133759749.10551776</v>
      </c>
      <c r="T12" s="44">
        <f>'BCA - WTP per ha &amp; per year'!$E$35</f>
        <v>615.3932194870149</v>
      </c>
      <c r="U12" s="82">
        <f>'BCA - WTP per ha &amp; per year'!$C$39</f>
        <v>110031472.1699243</v>
      </c>
      <c r="V12" s="44">
        <f>'BCA - WTP per ha &amp; per year'!$E$60</f>
        <v>923.52834276974863</v>
      </c>
      <c r="W12" s="82">
        <f>'BCA - WTP per ha &amp; per year'!$C$64</f>
        <v>157488026.04111123</v>
      </c>
    </row>
    <row r="13" spans="1:23" x14ac:dyDescent="0.35">
      <c r="A13">
        <v>2020</v>
      </c>
      <c r="B13">
        <v>3</v>
      </c>
      <c r="C13" s="36">
        <v>0</v>
      </c>
      <c r="D13" s="2">
        <f t="shared" si="5"/>
        <v>923.52834276974863</v>
      </c>
      <c r="E13">
        <f t="shared" si="6"/>
        <v>1227</v>
      </c>
      <c r="F13">
        <f t="shared" si="6"/>
        <v>0</v>
      </c>
      <c r="G13">
        <f t="shared" si="6"/>
        <v>300</v>
      </c>
      <c r="I13" s="5">
        <f t="shared" si="1"/>
        <v>0</v>
      </c>
      <c r="J13" s="39">
        <f t="shared" si="2"/>
        <v>0</v>
      </c>
      <c r="K13" s="10">
        <f t="shared" si="7"/>
        <v>0</v>
      </c>
      <c r="L13" s="5">
        <f t="shared" si="0"/>
        <v>0</v>
      </c>
      <c r="N13" s="5">
        <f t="shared" si="3"/>
        <v>0</v>
      </c>
      <c r="O13" s="5">
        <f t="shared" si="4"/>
        <v>0</v>
      </c>
      <c r="S13" s="26"/>
      <c r="T13" s="2"/>
    </row>
    <row r="14" spans="1:23" x14ac:dyDescent="0.35">
      <c r="A14">
        <v>2021</v>
      </c>
      <c r="B14">
        <v>4</v>
      </c>
      <c r="C14" s="36">
        <v>0</v>
      </c>
      <c r="D14" s="2">
        <f t="shared" si="5"/>
        <v>923.52834276974863</v>
      </c>
      <c r="E14">
        <f t="shared" si="6"/>
        <v>1227</v>
      </c>
      <c r="F14">
        <f t="shared" si="6"/>
        <v>0</v>
      </c>
      <c r="G14">
        <f t="shared" si="6"/>
        <v>300</v>
      </c>
      <c r="I14" s="5">
        <f t="shared" si="1"/>
        <v>0</v>
      </c>
      <c r="J14" s="39">
        <f t="shared" si="2"/>
        <v>0</v>
      </c>
      <c r="K14" s="10">
        <f t="shared" si="7"/>
        <v>0</v>
      </c>
      <c r="L14" s="5">
        <f t="shared" si="0"/>
        <v>0</v>
      </c>
      <c r="N14" s="5">
        <f t="shared" si="3"/>
        <v>0</v>
      </c>
      <c r="O14" s="5">
        <f t="shared" si="4"/>
        <v>0</v>
      </c>
      <c r="T14" s="2"/>
    </row>
    <row r="15" spans="1:23" x14ac:dyDescent="0.35">
      <c r="A15">
        <v>2022</v>
      </c>
      <c r="B15">
        <v>5</v>
      </c>
      <c r="C15" s="36">
        <v>0</v>
      </c>
      <c r="D15" s="2">
        <f t="shared" si="5"/>
        <v>923.52834276974863</v>
      </c>
      <c r="E15">
        <f t="shared" si="6"/>
        <v>1227</v>
      </c>
      <c r="F15">
        <f t="shared" si="6"/>
        <v>0</v>
      </c>
      <c r="G15">
        <f t="shared" si="6"/>
        <v>300</v>
      </c>
      <c r="I15" s="5">
        <f t="shared" si="1"/>
        <v>0</v>
      </c>
      <c r="J15" s="39">
        <f t="shared" si="2"/>
        <v>0</v>
      </c>
      <c r="K15" s="10">
        <f t="shared" si="7"/>
        <v>0</v>
      </c>
      <c r="L15" s="5">
        <f t="shared" si="0"/>
        <v>0</v>
      </c>
      <c r="N15" s="5">
        <f t="shared" si="3"/>
        <v>0</v>
      </c>
      <c r="O15" s="5">
        <f t="shared" si="4"/>
        <v>0</v>
      </c>
      <c r="T15" s="2"/>
    </row>
    <row r="16" spans="1:23" x14ac:dyDescent="0.35">
      <c r="A16">
        <v>2023</v>
      </c>
      <c r="B16">
        <v>6</v>
      </c>
      <c r="C16" s="36">
        <v>0</v>
      </c>
      <c r="D16" s="2">
        <f t="shared" si="5"/>
        <v>923.52834276974863</v>
      </c>
      <c r="E16">
        <f t="shared" si="6"/>
        <v>1227</v>
      </c>
      <c r="F16">
        <f t="shared" si="6"/>
        <v>0</v>
      </c>
      <c r="G16">
        <f t="shared" si="6"/>
        <v>300</v>
      </c>
      <c r="I16" s="5">
        <f t="shared" si="1"/>
        <v>0</v>
      </c>
      <c r="J16" s="39">
        <f t="shared" si="2"/>
        <v>0</v>
      </c>
      <c r="K16" s="10">
        <f t="shared" si="7"/>
        <v>0</v>
      </c>
      <c r="L16" s="5">
        <f t="shared" si="0"/>
        <v>0</v>
      </c>
      <c r="N16" s="5">
        <f t="shared" si="3"/>
        <v>0</v>
      </c>
      <c r="O16" s="5">
        <f t="shared" si="4"/>
        <v>0</v>
      </c>
      <c r="T16" s="2"/>
    </row>
    <row r="17" spans="1:23" x14ac:dyDescent="0.35">
      <c r="A17">
        <v>2024</v>
      </c>
      <c r="B17">
        <v>7</v>
      </c>
      <c r="C17" s="36">
        <v>0</v>
      </c>
      <c r="D17" s="2">
        <f t="shared" si="5"/>
        <v>923.52834276974863</v>
      </c>
      <c r="E17">
        <f t="shared" si="6"/>
        <v>1227</v>
      </c>
      <c r="F17">
        <f t="shared" si="6"/>
        <v>0</v>
      </c>
      <c r="G17">
        <f t="shared" si="6"/>
        <v>300</v>
      </c>
      <c r="I17" s="5">
        <f t="shared" si="1"/>
        <v>0</v>
      </c>
      <c r="J17" s="39">
        <f t="shared" si="2"/>
        <v>0</v>
      </c>
      <c r="K17" s="10">
        <f t="shared" si="7"/>
        <v>0</v>
      </c>
      <c r="L17" s="5">
        <f t="shared" si="0"/>
        <v>0</v>
      </c>
      <c r="N17" s="5">
        <f t="shared" si="3"/>
        <v>0</v>
      </c>
      <c r="O17" s="5">
        <f t="shared" si="4"/>
        <v>0</v>
      </c>
      <c r="Q17" s="69"/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v>0</v>
      </c>
      <c r="D18" s="2">
        <f t="shared" si="5"/>
        <v>923.52834276974863</v>
      </c>
      <c r="E18">
        <f t="shared" si="6"/>
        <v>1227</v>
      </c>
      <c r="F18">
        <f t="shared" si="6"/>
        <v>0</v>
      </c>
      <c r="G18">
        <f t="shared" si="6"/>
        <v>300</v>
      </c>
      <c r="I18" s="5">
        <f t="shared" si="1"/>
        <v>0</v>
      </c>
      <c r="J18" s="39">
        <f t="shared" si="2"/>
        <v>0</v>
      </c>
      <c r="K18" s="10">
        <f t="shared" si="7"/>
        <v>0</v>
      </c>
      <c r="L18" s="5">
        <f t="shared" si="0"/>
        <v>0</v>
      </c>
      <c r="N18" s="5">
        <f t="shared" si="3"/>
        <v>0</v>
      </c>
      <c r="O18" s="5">
        <f t="shared" si="4"/>
        <v>0</v>
      </c>
      <c r="Q18" s="69"/>
      <c r="R18" s="150" t="s">
        <v>66</v>
      </c>
      <c r="S18" s="150"/>
      <c r="T18" s="150" t="s">
        <v>92</v>
      </c>
      <c r="U18" s="150"/>
      <c r="V18" s="150" t="s">
        <v>94</v>
      </c>
      <c r="W18" s="150"/>
    </row>
    <row r="19" spans="1:23" x14ac:dyDescent="0.35">
      <c r="A19">
        <v>2026</v>
      </c>
      <c r="B19">
        <v>9</v>
      </c>
      <c r="C19" s="36">
        <v>0</v>
      </c>
      <c r="D19" s="2">
        <f t="shared" si="5"/>
        <v>923.52834276974863</v>
      </c>
      <c r="E19">
        <f t="shared" si="6"/>
        <v>1227</v>
      </c>
      <c r="F19">
        <f t="shared" si="6"/>
        <v>0</v>
      </c>
      <c r="G19">
        <f t="shared" si="6"/>
        <v>300</v>
      </c>
      <c r="I19" s="5">
        <f t="shared" si="1"/>
        <v>0</v>
      </c>
      <c r="J19" s="39">
        <f t="shared" si="2"/>
        <v>0</v>
      </c>
      <c r="K19" s="10">
        <f t="shared" si="7"/>
        <v>0</v>
      </c>
      <c r="L19" s="5">
        <f t="shared" si="0"/>
        <v>0</v>
      </c>
      <c r="N19" s="5">
        <f t="shared" si="3"/>
        <v>0</v>
      </c>
      <c r="O19" s="5">
        <f t="shared" si="4"/>
        <v>0</v>
      </c>
      <c r="Q19" s="69"/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v>0</v>
      </c>
      <c r="D20" s="2">
        <f t="shared" si="5"/>
        <v>923.52834276974863</v>
      </c>
      <c r="E20">
        <f t="shared" si="6"/>
        <v>1227</v>
      </c>
      <c r="F20">
        <f t="shared" si="6"/>
        <v>0</v>
      </c>
      <c r="G20">
        <f t="shared" si="6"/>
        <v>300</v>
      </c>
      <c r="I20" s="5">
        <f t="shared" si="1"/>
        <v>0</v>
      </c>
      <c r="J20" s="39">
        <f t="shared" si="2"/>
        <v>0</v>
      </c>
      <c r="K20" s="10">
        <f t="shared" si="7"/>
        <v>0</v>
      </c>
      <c r="L20" s="5">
        <f t="shared" si="0"/>
        <v>0</v>
      </c>
      <c r="N20" s="5">
        <f t="shared" si="3"/>
        <v>0</v>
      </c>
      <c r="O20" s="5">
        <f t="shared" si="4"/>
        <v>0</v>
      </c>
      <c r="Q20" s="68"/>
      <c r="R20" s="32" t="s">
        <v>50</v>
      </c>
      <c r="S20" s="37">
        <v>4.9121212053098322</v>
      </c>
      <c r="T20" s="32" t="s">
        <v>50</v>
      </c>
      <c r="U20" s="37">
        <v>4.0175530450353412</v>
      </c>
      <c r="V20" s="32" t="s">
        <v>50</v>
      </c>
      <c r="W20" s="37">
        <v>5.8066893655843241</v>
      </c>
    </row>
    <row r="21" spans="1:23" x14ac:dyDescent="0.35">
      <c r="A21">
        <v>2028</v>
      </c>
      <c r="B21">
        <v>11</v>
      </c>
      <c r="C21" s="61">
        <f>'BCA - WTP per ha &amp; per year'!B17/11</f>
        <v>14321.818181818182</v>
      </c>
      <c r="D21" s="2">
        <f t="shared" si="5"/>
        <v>923.52834276974863</v>
      </c>
      <c r="E21">
        <f t="shared" si="6"/>
        <v>1227</v>
      </c>
      <c r="F21">
        <f t="shared" si="6"/>
        <v>0</v>
      </c>
      <c r="G21">
        <f t="shared" si="6"/>
        <v>300</v>
      </c>
      <c r="I21" s="5">
        <f>D21*C21</f>
        <v>13226605.0109042</v>
      </c>
      <c r="J21" s="85">
        <f>W12</f>
        <v>157488026.04111123</v>
      </c>
      <c r="K21" s="10">
        <f>(G21*C21)+(E21*(C21-C20))</f>
        <v>21869416.363636367</v>
      </c>
      <c r="L21" s="5">
        <f>(I21+J21-K21)/(1+$J$5)^B21</f>
        <v>101950891.80991501</v>
      </c>
      <c r="N21" s="5">
        <f t="shared" si="3"/>
        <v>14979363.000033017</v>
      </c>
      <c r="O21" s="5">
        <f t="shared" si="4"/>
        <v>116930254.80994803</v>
      </c>
      <c r="Q21" s="68"/>
      <c r="R21" s="32" t="s">
        <v>51</v>
      </c>
      <c r="S21" s="58">
        <v>1943942795.3611951</v>
      </c>
      <c r="T21" s="32" t="s">
        <v>51</v>
      </c>
      <c r="U21" s="58">
        <v>1499429642.812438</v>
      </c>
      <c r="V21" s="32" t="s">
        <v>51</v>
      </c>
      <c r="W21" s="58">
        <v>2388455947.9099522</v>
      </c>
    </row>
    <row r="22" spans="1:23" x14ac:dyDescent="0.35">
      <c r="A22">
        <v>2029</v>
      </c>
      <c r="B22">
        <v>12</v>
      </c>
      <c r="C22" s="61">
        <f>$C$21+C21</f>
        <v>28643.636363636364</v>
      </c>
      <c r="D22" s="2">
        <f t="shared" si="5"/>
        <v>923.52834276974863</v>
      </c>
      <c r="E22">
        <f t="shared" si="6"/>
        <v>1227</v>
      </c>
      <c r="F22">
        <f t="shared" si="6"/>
        <v>0</v>
      </c>
      <c r="G22">
        <f t="shared" si="6"/>
        <v>300</v>
      </c>
      <c r="I22" s="5">
        <f t="shared" si="1"/>
        <v>26453210.021808401</v>
      </c>
      <c r="J22" s="39">
        <f>J21</f>
        <v>157488026.04111123</v>
      </c>
      <c r="K22" s="10">
        <f t="shared" si="7"/>
        <v>26165961.81818182</v>
      </c>
      <c r="L22" s="5">
        <f t="shared" si="0"/>
        <v>104413041.37815444</v>
      </c>
      <c r="N22" s="5">
        <f t="shared" si="3"/>
        <v>17316196.514943779</v>
      </c>
      <c r="O22" s="5">
        <f t="shared" si="4"/>
        <v>121729237.89309822</v>
      </c>
      <c r="Q22" s="68"/>
      <c r="R22" s="90"/>
      <c r="S22" s="91"/>
      <c r="T22" s="90"/>
      <c r="U22" s="91"/>
      <c r="V22" s="90"/>
      <c r="W22" s="91"/>
    </row>
    <row r="23" spans="1:23" x14ac:dyDescent="0.35">
      <c r="A23">
        <v>2030</v>
      </c>
      <c r="B23">
        <v>13</v>
      </c>
      <c r="C23" s="61">
        <f t="shared" ref="C23:C31" si="8">$C$21+C22</f>
        <v>42965.454545454544</v>
      </c>
      <c r="D23" s="2">
        <f t="shared" si="5"/>
        <v>923.52834276974863</v>
      </c>
      <c r="E23">
        <f t="shared" si="6"/>
        <v>1227</v>
      </c>
      <c r="F23">
        <f t="shared" si="6"/>
        <v>0</v>
      </c>
      <c r="G23">
        <f t="shared" si="6"/>
        <v>300</v>
      </c>
      <c r="I23" s="5">
        <f t="shared" si="1"/>
        <v>39679815.032712601</v>
      </c>
      <c r="J23" s="39">
        <f t="shared" ref="J23:J42" si="9">J22</f>
        <v>157488026.04111123</v>
      </c>
      <c r="K23" s="10">
        <f t="shared" si="7"/>
        <v>30462507.27272727</v>
      </c>
      <c r="L23" s="5">
        <f t="shared" si="0"/>
        <v>106592082.74906273</v>
      </c>
      <c r="N23" s="5">
        <f t="shared" si="3"/>
        <v>19477853.659035783</v>
      </c>
      <c r="O23" s="5">
        <f t="shared" si="4"/>
        <v>126069936.40809852</v>
      </c>
      <c r="Q23" s="68"/>
      <c r="R23" s="90"/>
      <c r="S23" s="92"/>
      <c r="T23" s="90"/>
      <c r="U23" s="92"/>
      <c r="V23" s="90"/>
      <c r="W23" s="92"/>
    </row>
    <row r="24" spans="1:23" x14ac:dyDescent="0.35">
      <c r="A24">
        <v>2031</v>
      </c>
      <c r="B24">
        <v>14</v>
      </c>
      <c r="C24" s="61">
        <f t="shared" si="8"/>
        <v>57287.272727272728</v>
      </c>
      <c r="D24" s="2">
        <f t="shared" si="5"/>
        <v>923.52834276974863</v>
      </c>
      <c r="E24">
        <f t="shared" si="6"/>
        <v>1227</v>
      </c>
      <c r="F24">
        <f t="shared" si="6"/>
        <v>0</v>
      </c>
      <c r="G24">
        <f t="shared" si="6"/>
        <v>300</v>
      </c>
      <c r="I24" s="5">
        <f t="shared" si="1"/>
        <v>52906420.043616802</v>
      </c>
      <c r="J24" s="39">
        <f t="shared" si="9"/>
        <v>157488026.04111123</v>
      </c>
      <c r="K24" s="10">
        <f t="shared" si="7"/>
        <v>34759052.727272734</v>
      </c>
      <c r="L24" s="5">
        <f t="shared" si="0"/>
        <v>108504347.74431643</v>
      </c>
      <c r="N24" s="5">
        <f t="shared" si="3"/>
        <v>21473509.822175823</v>
      </c>
      <c r="O24" s="5">
        <f>(I24+J24)/(1+$J$5)^$B24</f>
        <v>129977857.56649224</v>
      </c>
      <c r="Q24" s="69"/>
    </row>
    <row r="25" spans="1:23" x14ac:dyDescent="0.35">
      <c r="A25">
        <v>2032</v>
      </c>
      <c r="B25">
        <v>15</v>
      </c>
      <c r="C25" s="61">
        <f t="shared" si="8"/>
        <v>71609.090909090912</v>
      </c>
      <c r="D25" s="2">
        <f t="shared" si="5"/>
        <v>923.52834276974863</v>
      </c>
      <c r="E25">
        <f t="shared" si="6"/>
        <v>1227</v>
      </c>
      <c r="F25">
        <f t="shared" si="6"/>
        <v>0</v>
      </c>
      <c r="G25">
        <f t="shared" si="6"/>
        <v>300</v>
      </c>
      <c r="I25" s="5">
        <f t="shared" si="1"/>
        <v>66133025.054521002</v>
      </c>
      <c r="J25" s="39">
        <f t="shared" si="9"/>
        <v>157488026.04111123</v>
      </c>
      <c r="K25" s="10">
        <f t="shared" si="7"/>
        <v>39055598.181818187</v>
      </c>
      <c r="L25" s="5">
        <f t="shared" si="0"/>
        <v>110165387.36649376</v>
      </c>
      <c r="N25" s="5">
        <f>(K25)/(1+$J$5)^$B25</f>
        <v>23311920.159507263</v>
      </c>
      <c r="O25" s="5">
        <f t="shared" si="4"/>
        <v>133477307.52600104</v>
      </c>
      <c r="Q25" s="69"/>
      <c r="R25" s="152" t="s">
        <v>13</v>
      </c>
      <c r="S25" s="152"/>
      <c r="T25" s="80" t="s">
        <v>13</v>
      </c>
      <c r="U25" s="80"/>
      <c r="V25" s="80" t="s">
        <v>13</v>
      </c>
      <c r="W25" s="80"/>
    </row>
    <row r="26" spans="1:23" x14ac:dyDescent="0.35">
      <c r="A26">
        <v>2033</v>
      </c>
      <c r="B26">
        <v>16</v>
      </c>
      <c r="C26" s="61">
        <f t="shared" si="8"/>
        <v>85930.909090909088</v>
      </c>
      <c r="D26" s="2">
        <f t="shared" si="5"/>
        <v>923.52834276974863</v>
      </c>
      <c r="E26">
        <f t="shared" si="6"/>
        <v>1227</v>
      </c>
      <c r="F26">
        <f t="shared" si="6"/>
        <v>0</v>
      </c>
      <c r="G26">
        <f t="shared" si="6"/>
        <v>300</v>
      </c>
      <c r="I26" s="5">
        <f t="shared" si="1"/>
        <v>79359630.065425202</v>
      </c>
      <c r="J26" s="39">
        <f t="shared" si="9"/>
        <v>157488026.04111123</v>
      </c>
      <c r="K26" s="10">
        <f t="shared" si="7"/>
        <v>43352143.636363626</v>
      </c>
      <c r="L26" s="5">
        <f t="shared" si="0"/>
        <v>111590005.93183105</v>
      </c>
      <c r="N26" s="5">
        <f t="shared" si="3"/>
        <v>25001437.520599507</v>
      </c>
      <c r="O26" s="5">
        <f t="shared" si="4"/>
        <v>136591443.45243055</v>
      </c>
      <c r="Q26" s="68"/>
      <c r="R26" s="150" t="s">
        <v>67</v>
      </c>
      <c r="S26" s="150"/>
      <c r="T26" s="150" t="s">
        <v>93</v>
      </c>
      <c r="U26" s="150"/>
      <c r="V26" s="150" t="s">
        <v>95</v>
      </c>
      <c r="W26" s="150"/>
    </row>
    <row r="27" spans="1:23" x14ac:dyDescent="0.35">
      <c r="A27">
        <v>2034</v>
      </c>
      <c r="B27">
        <v>17</v>
      </c>
      <c r="C27" s="61">
        <f t="shared" si="8"/>
        <v>100252.72727272726</v>
      </c>
      <c r="D27" s="2">
        <f t="shared" si="5"/>
        <v>923.52834276974863</v>
      </c>
      <c r="E27">
        <f t="shared" si="6"/>
        <v>1227</v>
      </c>
      <c r="F27">
        <f t="shared" si="6"/>
        <v>0</v>
      </c>
      <c r="G27">
        <f t="shared" si="6"/>
        <v>300</v>
      </c>
      <c r="I27" s="5">
        <f t="shared" si="1"/>
        <v>92586235.076329395</v>
      </c>
      <c r="J27" s="39">
        <f t="shared" si="9"/>
        <v>157488026.04111123</v>
      </c>
      <c r="K27" s="10">
        <f t="shared" si="7"/>
        <v>47648689.090909079</v>
      </c>
      <c r="L27" s="5">
        <f t="shared" si="0"/>
        <v>112792293.78738964</v>
      </c>
      <c r="N27" s="5">
        <f t="shared" si="3"/>
        <v>26550029.646557651</v>
      </c>
      <c r="O27" s="5">
        <f t="shared" si="4"/>
        <v>139342323.43394729</v>
      </c>
      <c r="Q27" s="68"/>
      <c r="S27" s="66" t="s">
        <v>65</v>
      </c>
      <c r="U27" s="66" t="s">
        <v>65</v>
      </c>
      <c r="W27" s="66" t="s">
        <v>65</v>
      </c>
    </row>
    <row r="28" spans="1:23" x14ac:dyDescent="0.35">
      <c r="A28">
        <v>2035</v>
      </c>
      <c r="B28">
        <v>18</v>
      </c>
      <c r="C28" s="61">
        <f t="shared" si="8"/>
        <v>114574.54545454544</v>
      </c>
      <c r="D28" s="2">
        <f t="shared" si="5"/>
        <v>923.52834276974863</v>
      </c>
      <c r="E28">
        <f t="shared" ref="E28:G43" si="10">E27</f>
        <v>1227</v>
      </c>
      <c r="F28">
        <f t="shared" si="10"/>
        <v>0</v>
      </c>
      <c r="G28">
        <f t="shared" si="10"/>
        <v>300</v>
      </c>
      <c r="I28" s="5">
        <f t="shared" si="1"/>
        <v>105812840.08723359</v>
      </c>
      <c r="J28" s="39">
        <f t="shared" si="9"/>
        <v>157488026.04111123</v>
      </c>
      <c r="K28" s="10">
        <f t="shared" si="7"/>
        <v>51945234.545454532</v>
      </c>
      <c r="L28" s="5">
        <f t="shared" si="0"/>
        <v>113785658.66934164</v>
      </c>
      <c r="N28" s="5">
        <f t="shared" si="3"/>
        <v>27965295.664099358</v>
      </c>
      <c r="O28" s="5">
        <f t="shared" si="4"/>
        <v>141750954.33344099</v>
      </c>
      <c r="Q28" s="68"/>
      <c r="R28" s="32" t="s">
        <v>50</v>
      </c>
      <c r="S28" s="37">
        <v>5.0119157718622898</v>
      </c>
      <c r="T28" s="32" t="s">
        <v>50</v>
      </c>
      <c r="U28" s="37">
        <v>4.0774805717537861</v>
      </c>
      <c r="V28" s="32" t="s">
        <v>50</v>
      </c>
      <c r="W28" s="37">
        <v>5.9463509719707934</v>
      </c>
    </row>
    <row r="29" spans="1:23" x14ac:dyDescent="0.35">
      <c r="A29">
        <v>2036</v>
      </c>
      <c r="B29">
        <v>19</v>
      </c>
      <c r="C29" s="61">
        <f t="shared" si="8"/>
        <v>128896.36363636362</v>
      </c>
      <c r="D29" s="2">
        <f t="shared" si="5"/>
        <v>923.52834276974863</v>
      </c>
      <c r="E29">
        <f t="shared" si="10"/>
        <v>1227</v>
      </c>
      <c r="F29">
        <f t="shared" si="10"/>
        <v>0</v>
      </c>
      <c r="G29">
        <f t="shared" si="10"/>
        <v>300</v>
      </c>
      <c r="I29" s="5">
        <f t="shared" si="1"/>
        <v>119039445.09813778</v>
      </c>
      <c r="J29" s="39">
        <f t="shared" si="9"/>
        <v>157488026.04111123</v>
      </c>
      <c r="K29" s="10">
        <f t="shared" si="7"/>
        <v>56241779.999999985</v>
      </c>
      <c r="L29" s="5">
        <f t="shared" si="0"/>
        <v>114582855.75686486</v>
      </c>
      <c r="N29" s="5">
        <f t="shared" si="3"/>
        <v>29254481.904481336</v>
      </c>
      <c r="O29" s="5">
        <f t="shared" si="4"/>
        <v>143837337.6613462</v>
      </c>
      <c r="Q29" s="68"/>
      <c r="R29" s="32" t="s">
        <v>51</v>
      </c>
      <c r="S29" s="58">
        <v>1993530964.6649826</v>
      </c>
      <c r="T29" s="32" t="s">
        <v>51</v>
      </c>
      <c r="U29" s="58">
        <v>1529207780.4759696</v>
      </c>
      <c r="V29" s="32" t="s">
        <v>51</v>
      </c>
      <c r="W29" s="58">
        <v>2457854148.8539953</v>
      </c>
    </row>
    <row r="30" spans="1:23" x14ac:dyDescent="0.35">
      <c r="A30">
        <v>2037</v>
      </c>
      <c r="B30">
        <v>20</v>
      </c>
      <c r="C30" s="61">
        <f t="shared" si="8"/>
        <v>143218.18181818179</v>
      </c>
      <c r="D30" s="2">
        <f t="shared" si="5"/>
        <v>923.52834276974863</v>
      </c>
      <c r="E30">
        <f t="shared" si="10"/>
        <v>1227</v>
      </c>
      <c r="F30">
        <f t="shared" si="10"/>
        <v>0</v>
      </c>
      <c r="G30">
        <f t="shared" si="10"/>
        <v>300</v>
      </c>
      <c r="I30" s="5">
        <f t="shared" si="1"/>
        <v>132266050.10904197</v>
      </c>
      <c r="J30" s="39">
        <f t="shared" si="9"/>
        <v>157488026.04111123</v>
      </c>
      <c r="K30" s="10">
        <f t="shared" si="7"/>
        <v>60538325.454545438</v>
      </c>
      <c r="L30" s="5">
        <f t="shared" si="0"/>
        <v>115196016.47400746</v>
      </c>
      <c r="N30" s="5">
        <f t="shared" si="3"/>
        <v>30424497.074075948</v>
      </c>
      <c r="O30" s="5">
        <f t="shared" si="4"/>
        <v>145620513.54808339</v>
      </c>
      <c r="Q30" s="69"/>
      <c r="R30" s="90"/>
      <c r="S30" s="91"/>
      <c r="T30" s="90"/>
      <c r="U30" s="91"/>
      <c r="V30" s="90"/>
      <c r="W30" s="91"/>
    </row>
    <row r="31" spans="1:23" x14ac:dyDescent="0.35">
      <c r="A31">
        <v>2038</v>
      </c>
      <c r="B31">
        <v>21</v>
      </c>
      <c r="C31" s="61">
        <f t="shared" si="8"/>
        <v>157539.99999999997</v>
      </c>
      <c r="D31" s="2">
        <f t="shared" si="5"/>
        <v>923.52834276974863</v>
      </c>
      <c r="E31">
        <f t="shared" si="10"/>
        <v>1227</v>
      </c>
      <c r="F31">
        <f t="shared" si="10"/>
        <v>0</v>
      </c>
      <c r="G31">
        <f t="shared" si="10"/>
        <v>300</v>
      </c>
      <c r="I31" s="5">
        <f t="shared" si="1"/>
        <v>145492655.11994618</v>
      </c>
      <c r="J31" s="39">
        <f>J30</f>
        <v>157488026.04111123</v>
      </c>
      <c r="K31" s="10">
        <f t="shared" si="7"/>
        <v>64834870.909090891</v>
      </c>
      <c r="L31" s="5">
        <f t="shared" si="0"/>
        <v>115636676.08983228</v>
      </c>
      <c r="N31" s="5">
        <f t="shared" si="3"/>
        <v>31481926.802357938</v>
      </c>
      <c r="O31" s="5">
        <f t="shared" si="4"/>
        <v>147118602.89219019</v>
      </c>
      <c r="Q31" s="69"/>
      <c r="R31" s="90"/>
      <c r="S31" s="92"/>
      <c r="T31" s="90"/>
      <c r="U31" s="92"/>
      <c r="V31" s="90"/>
      <c r="W31" s="92"/>
    </row>
    <row r="32" spans="1:23" x14ac:dyDescent="0.35">
      <c r="A32">
        <v>2039</v>
      </c>
      <c r="B32">
        <v>22</v>
      </c>
      <c r="C32" s="36">
        <f t="shared" ref="C32:C43" si="11">C31</f>
        <v>157539.99999999997</v>
      </c>
      <c r="D32" s="2">
        <f t="shared" si="5"/>
        <v>923.52834276974863</v>
      </c>
      <c r="E32">
        <f t="shared" si="10"/>
        <v>1227</v>
      </c>
      <c r="F32">
        <f t="shared" si="10"/>
        <v>0</v>
      </c>
      <c r="G32">
        <f t="shared" si="10"/>
        <v>300</v>
      </c>
      <c r="I32" s="5">
        <f t="shared" si="1"/>
        <v>145492655.11994618</v>
      </c>
      <c r="J32" s="39">
        <f t="shared" si="9"/>
        <v>157488026.04111123</v>
      </c>
      <c r="K32" s="10">
        <f t="shared" si="7"/>
        <v>47261999.999999993</v>
      </c>
      <c r="L32" s="5">
        <f t="shared" si="0"/>
        <v>119970580.56282036</v>
      </c>
      <c r="N32" s="5">
        <f t="shared" si="3"/>
        <v>22172997.11079336</v>
      </c>
      <c r="O32" s="5">
        <f t="shared" si="4"/>
        <v>142143577.67361373</v>
      </c>
      <c r="Q32" s="69"/>
      <c r="R32" s="68"/>
      <c r="S32" s="63"/>
    </row>
    <row r="33" spans="1:21" x14ac:dyDescent="0.35">
      <c r="A33">
        <v>2040</v>
      </c>
      <c r="B33">
        <v>23</v>
      </c>
      <c r="C33" s="36">
        <f t="shared" si="11"/>
        <v>157539.99999999997</v>
      </c>
      <c r="D33" s="2">
        <f t="shared" si="5"/>
        <v>923.52834276974863</v>
      </c>
      <c r="E33">
        <f t="shared" si="10"/>
        <v>1227</v>
      </c>
      <c r="F33">
        <f t="shared" si="10"/>
        <v>0</v>
      </c>
      <c r="G33">
        <f t="shared" si="10"/>
        <v>300</v>
      </c>
      <c r="I33" s="5">
        <f t="shared" si="1"/>
        <v>145492655.11994618</v>
      </c>
      <c r="J33" s="39">
        <f t="shared" si="9"/>
        <v>157488026.04111123</v>
      </c>
      <c r="K33" s="10">
        <f t="shared" si="7"/>
        <v>47261999.999999993</v>
      </c>
      <c r="L33" s="5">
        <f t="shared" si="0"/>
        <v>115913604.40852208</v>
      </c>
      <c r="N33" s="5">
        <f t="shared" si="3"/>
        <v>21423185.614293102</v>
      </c>
      <c r="O33" s="5">
        <f t="shared" si="4"/>
        <v>137336790.0228152</v>
      </c>
      <c r="Q33" s="69"/>
      <c r="R33" s="71"/>
      <c r="S33" s="71"/>
    </row>
    <row r="34" spans="1:21" x14ac:dyDescent="0.35">
      <c r="A34">
        <v>2041</v>
      </c>
      <c r="B34">
        <v>24</v>
      </c>
      <c r="C34" s="36">
        <f t="shared" si="11"/>
        <v>157539.99999999997</v>
      </c>
      <c r="D34" s="2">
        <f t="shared" si="5"/>
        <v>923.52834276974863</v>
      </c>
      <c r="E34">
        <f t="shared" si="10"/>
        <v>1227</v>
      </c>
      <c r="F34">
        <f t="shared" si="10"/>
        <v>0</v>
      </c>
      <c r="G34">
        <f t="shared" si="10"/>
        <v>300</v>
      </c>
      <c r="I34" s="5">
        <f>D34*C34</f>
        <v>145492655.11994618</v>
      </c>
      <c r="J34" s="39">
        <f t="shared" si="9"/>
        <v>157488026.04111123</v>
      </c>
      <c r="K34" s="10">
        <f t="shared" si="7"/>
        <v>47261999.999999993</v>
      </c>
      <c r="L34" s="5">
        <f t="shared" si="0"/>
        <v>111993820.68456243</v>
      </c>
      <c r="N34" s="5">
        <f t="shared" si="3"/>
        <v>20698730.062118944</v>
      </c>
      <c r="O34" s="5">
        <f t="shared" si="4"/>
        <v>132692550.74668138</v>
      </c>
      <c r="Q34" s="68"/>
      <c r="R34" s="69"/>
      <c r="S34" s="83"/>
      <c r="T34" s="83"/>
      <c r="U34" s="62"/>
    </row>
    <row r="35" spans="1:21" x14ac:dyDescent="0.35">
      <c r="A35">
        <v>2042</v>
      </c>
      <c r="B35">
        <v>25</v>
      </c>
      <c r="C35" s="36">
        <f t="shared" si="11"/>
        <v>157539.99999999997</v>
      </c>
      <c r="D35" s="2">
        <f t="shared" si="5"/>
        <v>923.52834276974863</v>
      </c>
      <c r="E35">
        <f t="shared" si="10"/>
        <v>1227</v>
      </c>
      <c r="F35">
        <f t="shared" si="10"/>
        <v>0</v>
      </c>
      <c r="G35">
        <f t="shared" si="10"/>
        <v>300</v>
      </c>
      <c r="I35" s="5">
        <f t="shared" si="1"/>
        <v>145492655.11994618</v>
      </c>
      <c r="J35" s="39">
        <f t="shared" si="9"/>
        <v>157488026.04111123</v>
      </c>
      <c r="K35" s="10">
        <f t="shared" si="7"/>
        <v>47261999.999999993</v>
      </c>
      <c r="L35" s="5">
        <f t="shared" si="0"/>
        <v>108206590.03339365</v>
      </c>
      <c r="N35" s="5">
        <f t="shared" si="3"/>
        <v>19998773.006878208</v>
      </c>
      <c r="O35" s="5">
        <f t="shared" si="4"/>
        <v>128205363.04027186</v>
      </c>
      <c r="Q35" s="68"/>
      <c r="R35" s="68"/>
      <c r="S35" s="62"/>
      <c r="T35" s="62"/>
      <c r="U35" s="62"/>
    </row>
    <row r="36" spans="1:21" x14ac:dyDescent="0.35">
      <c r="A36">
        <v>2043</v>
      </c>
      <c r="B36">
        <v>26</v>
      </c>
      <c r="C36" s="36">
        <f t="shared" si="11"/>
        <v>157539.99999999997</v>
      </c>
      <c r="D36" s="2">
        <f t="shared" si="5"/>
        <v>923.52834276974863</v>
      </c>
      <c r="E36">
        <f t="shared" si="10"/>
        <v>1227</v>
      </c>
      <c r="F36">
        <f t="shared" si="10"/>
        <v>0</v>
      </c>
      <c r="G36">
        <f t="shared" si="10"/>
        <v>300</v>
      </c>
      <c r="I36" s="5">
        <f t="shared" si="1"/>
        <v>145492655.11994618</v>
      </c>
      <c r="J36" s="39">
        <f t="shared" si="9"/>
        <v>157488026.04111123</v>
      </c>
      <c r="K36" s="10">
        <f t="shared" si="7"/>
        <v>47261999.999999993</v>
      </c>
      <c r="L36" s="5">
        <f t="shared" si="0"/>
        <v>104547429.98395522</v>
      </c>
      <c r="N36" s="5">
        <f t="shared" si="3"/>
        <v>19322485.996983778</v>
      </c>
      <c r="O36" s="5">
        <f t="shared" si="4"/>
        <v>123869915.980939</v>
      </c>
      <c r="Q36" s="68"/>
      <c r="R36" s="68"/>
      <c r="S36" s="63"/>
      <c r="T36" s="63"/>
      <c r="U36" s="63"/>
    </row>
    <row r="37" spans="1:21" x14ac:dyDescent="0.35">
      <c r="A37">
        <v>2044</v>
      </c>
      <c r="B37">
        <v>27</v>
      </c>
      <c r="C37" s="36">
        <f t="shared" si="11"/>
        <v>157539.99999999997</v>
      </c>
      <c r="D37" s="2">
        <f t="shared" si="5"/>
        <v>923.52834276974863</v>
      </c>
      <c r="E37">
        <f t="shared" si="10"/>
        <v>1227</v>
      </c>
      <c r="F37">
        <f t="shared" si="10"/>
        <v>0</v>
      </c>
      <c r="G37">
        <f t="shared" si="10"/>
        <v>300</v>
      </c>
      <c r="I37" s="5">
        <f t="shared" si="1"/>
        <v>145492655.11994618</v>
      </c>
      <c r="J37" s="39">
        <f t="shared" si="9"/>
        <v>157488026.04111123</v>
      </c>
      <c r="K37" s="10">
        <f t="shared" si="7"/>
        <v>47261999.999999993</v>
      </c>
      <c r="L37" s="5">
        <f t="shared" si="0"/>
        <v>101012009.64633355</v>
      </c>
      <c r="N37" s="5">
        <f t="shared" si="3"/>
        <v>18669068.59611959</v>
      </c>
      <c r="O37" s="5">
        <f t="shared" si="4"/>
        <v>119681078.24245314</v>
      </c>
      <c r="Q37" s="68"/>
      <c r="R37" s="63"/>
      <c r="S37" s="63"/>
      <c r="T37" s="63"/>
      <c r="U37" s="63"/>
    </row>
    <row r="38" spans="1:21" x14ac:dyDescent="0.35">
      <c r="A38">
        <v>2045</v>
      </c>
      <c r="B38">
        <v>28</v>
      </c>
      <c r="C38" s="36">
        <f t="shared" si="11"/>
        <v>157539.99999999997</v>
      </c>
      <c r="D38" s="2">
        <f t="shared" si="5"/>
        <v>923.52834276974863</v>
      </c>
      <c r="E38">
        <f t="shared" si="10"/>
        <v>1227</v>
      </c>
      <c r="F38">
        <f t="shared" si="10"/>
        <v>0</v>
      </c>
      <c r="G38">
        <f t="shared" si="10"/>
        <v>300</v>
      </c>
      <c r="I38" s="5">
        <f t="shared" si="1"/>
        <v>145492655.11994618</v>
      </c>
      <c r="J38" s="39">
        <f t="shared" si="9"/>
        <v>157488026.04111123</v>
      </c>
      <c r="K38" s="10">
        <f t="shared" si="7"/>
        <v>47261999.999999993</v>
      </c>
      <c r="L38" s="5">
        <f t="shared" si="0"/>
        <v>97596144.585829511</v>
      </c>
      <c r="N38" s="5">
        <f t="shared" si="3"/>
        <v>18037747.435864341</v>
      </c>
      <c r="O38" s="5">
        <f t="shared" si="4"/>
        <v>115633892.02169386</v>
      </c>
      <c r="Q38" s="69"/>
      <c r="R38" s="71"/>
      <c r="S38" s="71"/>
      <c r="T38" s="71"/>
      <c r="U38" s="71"/>
    </row>
    <row r="39" spans="1:21" x14ac:dyDescent="0.35">
      <c r="A39">
        <v>2046</v>
      </c>
      <c r="B39">
        <v>29</v>
      </c>
      <c r="C39" s="36">
        <f t="shared" si="11"/>
        <v>157539.99999999997</v>
      </c>
      <c r="D39" s="2">
        <f t="shared" si="5"/>
        <v>923.52834276974863</v>
      </c>
      <c r="E39">
        <f t="shared" si="10"/>
        <v>1227</v>
      </c>
      <c r="F39">
        <f t="shared" si="10"/>
        <v>0</v>
      </c>
      <c r="G39">
        <f t="shared" si="10"/>
        <v>300</v>
      </c>
      <c r="I39" s="5">
        <f t="shared" si="1"/>
        <v>145492655.11994618</v>
      </c>
      <c r="J39" s="39">
        <f t="shared" si="9"/>
        <v>157488026.04111123</v>
      </c>
      <c r="K39" s="10">
        <f t="shared" si="7"/>
        <v>47261999.999999993</v>
      </c>
      <c r="L39" s="5">
        <f t="shared" si="0"/>
        <v>94295791.870366707</v>
      </c>
      <c r="N39" s="5">
        <f t="shared" si="3"/>
        <v>17427775.300352022</v>
      </c>
      <c r="O39" s="5">
        <f t="shared" si="4"/>
        <v>111723567.17071873</v>
      </c>
      <c r="Q39" s="69"/>
      <c r="R39" s="72"/>
      <c r="S39" s="72"/>
      <c r="T39" s="72"/>
      <c r="U39" s="72"/>
    </row>
    <row r="40" spans="1:21" x14ac:dyDescent="0.35">
      <c r="A40">
        <v>2047</v>
      </c>
      <c r="B40">
        <v>30</v>
      </c>
      <c r="C40" s="36">
        <f t="shared" si="11"/>
        <v>157539.99999999997</v>
      </c>
      <c r="D40" s="2">
        <f t="shared" si="5"/>
        <v>923.52834276974863</v>
      </c>
      <c r="E40">
        <f t="shared" si="10"/>
        <v>1227</v>
      </c>
      <c r="F40">
        <f t="shared" si="10"/>
        <v>0</v>
      </c>
      <c r="G40">
        <f t="shared" si="10"/>
        <v>300</v>
      </c>
      <c r="I40" s="5">
        <f t="shared" si="1"/>
        <v>145492655.11994618</v>
      </c>
      <c r="J40" s="39">
        <f t="shared" si="9"/>
        <v>157488026.04111123</v>
      </c>
      <c r="K40" s="10">
        <f t="shared" si="7"/>
        <v>47261999.999999993</v>
      </c>
      <c r="L40" s="5">
        <f t="shared" si="0"/>
        <v>91107045.285378456</v>
      </c>
      <c r="N40" s="5">
        <f>(K40)/(1+$J$5)^$B40</f>
        <v>16838430.241886012</v>
      </c>
      <c r="O40" s="5">
        <f t="shared" si="4"/>
        <v>107945475.52726446</v>
      </c>
      <c r="Q40" s="68"/>
      <c r="R40" s="62"/>
      <c r="S40" s="62"/>
      <c r="T40" s="62"/>
      <c r="U40" s="62"/>
    </row>
    <row r="41" spans="1:21" x14ac:dyDescent="0.35">
      <c r="A41">
        <v>2048</v>
      </c>
      <c r="B41">
        <v>31</v>
      </c>
      <c r="C41" s="36">
        <f t="shared" si="11"/>
        <v>157539.99999999997</v>
      </c>
      <c r="D41" s="2">
        <f t="shared" si="5"/>
        <v>923.52834276974863</v>
      </c>
      <c r="E41">
        <f t="shared" si="10"/>
        <v>1227</v>
      </c>
      <c r="F41">
        <f t="shared" si="10"/>
        <v>0</v>
      </c>
      <c r="G41">
        <f t="shared" si="10"/>
        <v>300</v>
      </c>
      <c r="I41" s="5">
        <f t="shared" si="1"/>
        <v>145492655.11994618</v>
      </c>
      <c r="J41" s="39">
        <f t="shared" si="9"/>
        <v>157488026.04111123</v>
      </c>
      <c r="K41" s="10">
        <f t="shared" si="7"/>
        <v>47261999.999999993</v>
      </c>
      <c r="L41" s="5">
        <f>(I41+J41-K41)/(1+$J$6)^B41</f>
        <v>102284185.24196643</v>
      </c>
      <c r="N41" s="5">
        <f>(K41)/(1+$J$6)^$B41</f>
        <v>18904192.454602703</v>
      </c>
      <c r="O41" s="5">
        <f>(I41+J41)/(1+$J$6)^$B41</f>
        <v>121188377.69656913</v>
      </c>
      <c r="Q41" s="68"/>
      <c r="R41" s="62"/>
      <c r="S41" s="62"/>
      <c r="T41" s="62"/>
      <c r="U41" s="62"/>
    </row>
    <row r="42" spans="1:21" x14ac:dyDescent="0.35">
      <c r="A42">
        <v>2049</v>
      </c>
      <c r="B42">
        <v>32</v>
      </c>
      <c r="C42" s="36">
        <f t="shared" si="11"/>
        <v>157539.99999999997</v>
      </c>
      <c r="D42" s="2">
        <f t="shared" si="5"/>
        <v>923.52834276974863</v>
      </c>
      <c r="E42">
        <f t="shared" si="10"/>
        <v>1227</v>
      </c>
      <c r="F42">
        <f t="shared" si="10"/>
        <v>0</v>
      </c>
      <c r="G42">
        <f t="shared" si="10"/>
        <v>300</v>
      </c>
      <c r="I42" s="5">
        <f t="shared" si="1"/>
        <v>145492655.11994618</v>
      </c>
      <c r="J42" s="39">
        <f t="shared" si="9"/>
        <v>157488026.04111123</v>
      </c>
      <c r="K42" s="10">
        <f t="shared" si="7"/>
        <v>47261999.999999993</v>
      </c>
      <c r="L42" s="5">
        <f>(I42+J42-K42)/(1+$J$6)^B42</f>
        <v>99305034.215501398</v>
      </c>
      <c r="N42" s="5">
        <f>(K42)/(1+$J$6)^$B42</f>
        <v>18353584.90738127</v>
      </c>
      <c r="O42" s="5">
        <f>(I42+J42)/(1+$J$6)^$B42</f>
        <v>117658619.12288268</v>
      </c>
      <c r="Q42" s="68"/>
      <c r="R42" s="63"/>
      <c r="S42" s="63"/>
      <c r="T42" s="63"/>
      <c r="U42" s="63"/>
    </row>
    <row r="43" spans="1:21" x14ac:dyDescent="0.35">
      <c r="A43">
        <v>2050</v>
      </c>
      <c r="B43">
        <v>33</v>
      </c>
      <c r="C43" s="36">
        <f t="shared" si="11"/>
        <v>157539.99999999997</v>
      </c>
      <c r="D43" s="2">
        <f t="shared" si="5"/>
        <v>923.52834276974863</v>
      </c>
      <c r="E43">
        <f t="shared" si="10"/>
        <v>1227</v>
      </c>
      <c r="F43">
        <f t="shared" si="10"/>
        <v>0</v>
      </c>
      <c r="G43">
        <f t="shared" si="10"/>
        <v>300</v>
      </c>
      <c r="I43" s="5">
        <f t="shared" si="1"/>
        <v>145492655.11994618</v>
      </c>
      <c r="J43" s="39">
        <f>J42</f>
        <v>157488026.04111123</v>
      </c>
      <c r="K43" s="10">
        <f t="shared" si="7"/>
        <v>47261999.999999993</v>
      </c>
      <c r="L43" s="5">
        <f>(I43+J43-K43)/(1+$J$6)^B43</f>
        <v>96412654.578156695</v>
      </c>
      <c r="N43" s="5">
        <f>(K43)/(1+$J$6)^$B43</f>
        <v>17819014.473185699</v>
      </c>
      <c r="O43" s="5">
        <f>(I43+J43)/(1+$J$6)^$B43</f>
        <v>114231669.0513424</v>
      </c>
      <c r="Q43" s="68"/>
      <c r="R43" s="63"/>
      <c r="S43" s="63"/>
      <c r="T43" s="63"/>
      <c r="U43" s="63"/>
    </row>
    <row r="44" spans="1:21" ht="15" thickBot="1" x14ac:dyDescent="0.4"/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2457854148.8539953</v>
      </c>
      <c r="N45" s="5">
        <f>SUM(N10:N43)</f>
        <v>496902496.96832651</v>
      </c>
      <c r="O45" s="5">
        <f>SUM(O10:O43)</f>
        <v>2954756645.8223224</v>
      </c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5.9463509719707934</v>
      </c>
    </row>
    <row r="48" spans="1:21" x14ac:dyDescent="0.35">
      <c r="C48" s="36"/>
    </row>
    <row r="49" spans="3:15" x14ac:dyDescent="0.35">
      <c r="C49" s="36"/>
      <c r="D49" s="2"/>
      <c r="I49" s="5"/>
      <c r="J49" s="5"/>
      <c r="K49" s="5"/>
      <c r="L49" s="5"/>
      <c r="N49" s="5"/>
      <c r="O49" s="5"/>
    </row>
    <row r="50" spans="3:15" x14ac:dyDescent="0.35">
      <c r="C50" s="36"/>
      <c r="D50" s="2"/>
      <c r="I50" s="5"/>
      <c r="J50" s="5"/>
      <c r="K50" s="5"/>
      <c r="L50" s="5"/>
      <c r="N50" s="5"/>
      <c r="O50" s="5"/>
    </row>
    <row r="51" spans="3:15" x14ac:dyDescent="0.35">
      <c r="C51" s="142" t="s">
        <v>166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  <c r="O51" s="5"/>
    </row>
    <row r="52" spans="3:15" x14ac:dyDescent="0.35">
      <c r="C52" s="145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7"/>
    </row>
  </sheetData>
  <mergeCells count="16">
    <mergeCell ref="T26:U26"/>
    <mergeCell ref="V26:W26"/>
    <mergeCell ref="T9:U9"/>
    <mergeCell ref="V9:W9"/>
    <mergeCell ref="T17:U17"/>
    <mergeCell ref="V17:W17"/>
    <mergeCell ref="T18:U18"/>
    <mergeCell ref="V18:W18"/>
    <mergeCell ref="C51:N52"/>
    <mergeCell ref="I46:J46"/>
    <mergeCell ref="I8:J8"/>
    <mergeCell ref="R9:S9"/>
    <mergeCell ref="R17:S17"/>
    <mergeCell ref="R18:S18"/>
    <mergeCell ref="R25:S25"/>
    <mergeCell ref="R26:S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70" zoomScaleNormal="70" workbookViewId="0">
      <selection activeCell="B47" sqref="B47"/>
    </sheetView>
  </sheetViews>
  <sheetFormatPr defaultRowHeight="14.5" x14ac:dyDescent="0.35"/>
  <cols>
    <col min="3" max="3" width="11" bestFit="1" customWidth="1"/>
    <col min="4" max="4" width="10.26953125" customWidth="1"/>
    <col min="6" max="6" width="11.26953125" customWidth="1"/>
    <col min="7" max="7" width="11.7265625" customWidth="1"/>
    <col min="8" max="8" width="14.7265625" customWidth="1"/>
    <col min="9" max="9" width="18.54296875" customWidth="1"/>
    <col min="10" max="11" width="17.7265625" bestFit="1" customWidth="1"/>
    <col min="12" max="12" width="26.453125" bestFit="1" customWidth="1"/>
    <col min="14" max="14" width="20.1796875" customWidth="1"/>
    <col min="15" max="15" width="25" bestFit="1" customWidth="1"/>
    <col min="17" max="17" width="19.81640625" customWidth="1"/>
    <col min="18" max="18" width="36.7265625" customWidth="1"/>
    <col min="19" max="19" width="29.26953125" customWidth="1"/>
    <col min="20" max="20" width="38.7265625" customWidth="1"/>
    <col min="21" max="21" width="26.7265625" bestFit="1" customWidth="1"/>
    <col min="22" max="22" width="36.81640625" customWidth="1"/>
    <col min="23" max="23" width="28.7265625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184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Q9" s="38"/>
      <c r="R9" s="153" t="s">
        <v>89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v>0</v>
      </c>
      <c r="D10" s="87">
        <f>V12</f>
        <v>876.39339268018489</v>
      </c>
      <c r="E10" s="88">
        <v>1227</v>
      </c>
      <c r="F10">
        <v>0</v>
      </c>
      <c r="G10" s="88">
        <v>300</v>
      </c>
      <c r="I10" s="5">
        <f>D10*C10</f>
        <v>0</v>
      </c>
      <c r="J10" s="85">
        <f>0</f>
        <v>0</v>
      </c>
      <c r="K10" s="89">
        <f>(G10*C10)+(E10*C10)</f>
        <v>0</v>
      </c>
      <c r="L10" s="5">
        <f>(I10+J10-K10)/(1+$J$5)^B10</f>
        <v>0</v>
      </c>
      <c r="N10" s="5">
        <f>(K10)/(1+$J$5)^$B10</f>
        <v>0</v>
      </c>
      <c r="O10" s="5">
        <f>(I10+J10)/(1+$J$5)^$B10</f>
        <v>0</v>
      </c>
      <c r="R10" s="76" t="s">
        <v>68</v>
      </c>
      <c r="S10" s="28" t="s">
        <v>80</v>
      </c>
      <c r="T10" s="76" t="s">
        <v>71</v>
      </c>
      <c r="U10" s="28" t="s">
        <v>80</v>
      </c>
      <c r="V10" s="76" t="s">
        <v>71</v>
      </c>
      <c r="W10" s="28" t="s">
        <v>80</v>
      </c>
    </row>
    <row r="11" spans="1:23" ht="15" thickBot="1" x14ac:dyDescent="0.4">
      <c r="A11">
        <v>2018</v>
      </c>
      <c r="B11">
        <v>1</v>
      </c>
      <c r="C11" s="36">
        <v>0</v>
      </c>
      <c r="D11" s="2">
        <f>$D$10</f>
        <v>876.39339268018489</v>
      </c>
      <c r="E11">
        <f>E10</f>
        <v>1227</v>
      </c>
      <c r="F11">
        <v>0</v>
      </c>
      <c r="G11">
        <f>G10</f>
        <v>300</v>
      </c>
      <c r="I11" s="5">
        <f t="shared" ref="I11:I19" si="0">D11*C11</f>
        <v>0</v>
      </c>
      <c r="J11" s="39">
        <f>J10</f>
        <v>0</v>
      </c>
      <c r="K11" s="89">
        <f>(G11*C11)+(E11*(C11-C10))</f>
        <v>0</v>
      </c>
      <c r="L11" s="5">
        <f t="shared" ref="L11:L21" si="1">(I11+J11-K11)/(1+$J$5)^B11</f>
        <v>0</v>
      </c>
      <c r="N11" s="5">
        <f t="shared" ref="N11:N32" si="2">(K11)/(1+$J$5)^$B11</f>
        <v>0</v>
      </c>
      <c r="O11" s="5">
        <f t="shared" ref="O11:O40" si="3">(I11+J11)/(1+$J$5)^$B11</f>
        <v>0</v>
      </c>
      <c r="Q11" t="s">
        <v>43</v>
      </c>
      <c r="R11" s="44">
        <f>'BCA - WTP per ha &amp; per year'!C19</f>
        <v>621.99540270156876</v>
      </c>
      <c r="S11" s="44">
        <f>'BCA - WTP per ha &amp; per year'!$B$25</f>
        <v>137995426.09910053</v>
      </c>
      <c r="T11" s="44">
        <f>'BCA - WTP per ha &amp; per year'!$C$35</f>
        <v>523.35170263129999</v>
      </c>
      <c r="U11" s="44">
        <f>'BCA - WTP per ha &amp; per year'!$B$39</f>
        <v>113706165.73898624</v>
      </c>
      <c r="V11" s="44">
        <f>'BCA - WTP per ha &amp; per year'!$C$60</f>
        <v>720.63910277183743</v>
      </c>
      <c r="W11" s="44">
        <f>'BCA - WTP per ha &amp; per year'!$B$64</f>
        <v>162284686.45921484</v>
      </c>
    </row>
    <row r="12" spans="1:23" ht="15" thickBot="1" x14ac:dyDescent="0.4">
      <c r="A12">
        <v>2019</v>
      </c>
      <c r="B12">
        <v>2</v>
      </c>
      <c r="C12" s="36">
        <v>0</v>
      </c>
      <c r="D12" s="2">
        <f t="shared" ref="D12:D43" si="4">$D$10</f>
        <v>876.39339268018489</v>
      </c>
      <c r="E12">
        <f t="shared" ref="E12:G27" si="5">E11</f>
        <v>1227</v>
      </c>
      <c r="F12">
        <f t="shared" si="5"/>
        <v>0</v>
      </c>
      <c r="G12">
        <f t="shared" si="5"/>
        <v>300</v>
      </c>
      <c r="I12" s="5">
        <f t="shared" si="0"/>
        <v>0</v>
      </c>
      <c r="J12" s="39">
        <f t="shared" ref="J12:J20" si="6">J11</f>
        <v>0</v>
      </c>
      <c r="K12" s="5">
        <f t="shared" ref="K12:K43" si="7">(G12*C12)+(E12*(C12-C11))</f>
        <v>0</v>
      </c>
      <c r="L12" s="5">
        <f t="shared" si="1"/>
        <v>0</v>
      </c>
      <c r="N12" s="5">
        <f t="shared" si="2"/>
        <v>0</v>
      </c>
      <c r="O12" s="5">
        <f t="shared" si="3"/>
        <v>0</v>
      </c>
      <c r="Q12" t="s">
        <v>44</v>
      </c>
      <c r="R12" s="44">
        <f>'BCA - WTP per ha &amp; per year'!F19</f>
        <v>731.69800259096951</v>
      </c>
      <c r="S12" s="82">
        <f>'BCA - WTP per ha &amp; per year'!$C$25</f>
        <v>133759749.10551776</v>
      </c>
      <c r="T12" s="44">
        <f>'BCA - WTP per ha &amp; per year'!$F$35</f>
        <v>587.00261250175402</v>
      </c>
      <c r="U12" s="82">
        <f>'BCA - WTP per ha &amp; per year'!$C$39</f>
        <v>110031472.1699243</v>
      </c>
      <c r="V12" s="44">
        <f>'BCA - WTP per ha &amp; per year'!$F$60</f>
        <v>876.39339268018489</v>
      </c>
      <c r="W12" s="82">
        <f>'BCA - WTP per ha &amp; per year'!$C$64</f>
        <v>157488026.04111123</v>
      </c>
    </row>
    <row r="13" spans="1:23" x14ac:dyDescent="0.35">
      <c r="A13">
        <v>2020</v>
      </c>
      <c r="B13">
        <v>3</v>
      </c>
      <c r="C13" s="36">
        <v>0</v>
      </c>
      <c r="D13" s="2">
        <f t="shared" si="4"/>
        <v>876.39339268018489</v>
      </c>
      <c r="E13">
        <f t="shared" si="5"/>
        <v>1227</v>
      </c>
      <c r="F13">
        <f t="shared" si="5"/>
        <v>0</v>
      </c>
      <c r="G13">
        <f t="shared" si="5"/>
        <v>300</v>
      </c>
      <c r="I13" s="5">
        <f t="shared" si="0"/>
        <v>0</v>
      </c>
      <c r="J13" s="39">
        <f t="shared" si="6"/>
        <v>0</v>
      </c>
      <c r="K13" s="5">
        <f t="shared" si="7"/>
        <v>0</v>
      </c>
      <c r="L13" s="5">
        <f t="shared" si="1"/>
        <v>0</v>
      </c>
      <c r="N13" s="5">
        <f t="shared" si="2"/>
        <v>0</v>
      </c>
      <c r="O13" s="5">
        <f t="shared" si="3"/>
        <v>0</v>
      </c>
      <c r="S13" s="26"/>
      <c r="T13" s="2"/>
    </row>
    <row r="14" spans="1:23" x14ac:dyDescent="0.35">
      <c r="A14">
        <v>2021</v>
      </c>
      <c r="B14">
        <v>4</v>
      </c>
      <c r="C14" s="36">
        <v>0</v>
      </c>
      <c r="D14" s="2">
        <f t="shared" si="4"/>
        <v>876.39339268018489</v>
      </c>
      <c r="E14">
        <f t="shared" si="5"/>
        <v>1227</v>
      </c>
      <c r="F14">
        <f t="shared" si="5"/>
        <v>0</v>
      </c>
      <c r="G14">
        <f t="shared" si="5"/>
        <v>300</v>
      </c>
      <c r="I14" s="5">
        <f t="shared" si="0"/>
        <v>0</v>
      </c>
      <c r="J14" s="39">
        <f t="shared" si="6"/>
        <v>0</v>
      </c>
      <c r="K14" s="5">
        <f t="shared" si="7"/>
        <v>0</v>
      </c>
      <c r="L14" s="5">
        <f t="shared" si="1"/>
        <v>0</v>
      </c>
      <c r="N14" s="5">
        <f t="shared" si="2"/>
        <v>0</v>
      </c>
      <c r="O14" s="5">
        <f t="shared" si="3"/>
        <v>0</v>
      </c>
      <c r="T14" s="2"/>
    </row>
    <row r="15" spans="1:23" x14ac:dyDescent="0.35">
      <c r="A15">
        <v>2022</v>
      </c>
      <c r="B15">
        <v>5</v>
      </c>
      <c r="C15" s="36">
        <v>0</v>
      </c>
      <c r="D15" s="2">
        <f t="shared" si="4"/>
        <v>876.39339268018489</v>
      </c>
      <c r="E15">
        <f t="shared" si="5"/>
        <v>1227</v>
      </c>
      <c r="F15">
        <f t="shared" si="5"/>
        <v>0</v>
      </c>
      <c r="G15">
        <f t="shared" si="5"/>
        <v>300</v>
      </c>
      <c r="I15" s="5">
        <f t="shared" si="0"/>
        <v>0</v>
      </c>
      <c r="J15" s="39">
        <f t="shared" si="6"/>
        <v>0</v>
      </c>
      <c r="K15" s="5">
        <f t="shared" si="7"/>
        <v>0</v>
      </c>
      <c r="L15" s="5">
        <f t="shared" si="1"/>
        <v>0</v>
      </c>
      <c r="N15" s="5">
        <f t="shared" si="2"/>
        <v>0</v>
      </c>
      <c r="O15" s="5">
        <f t="shared" si="3"/>
        <v>0</v>
      </c>
      <c r="T15" s="2"/>
    </row>
    <row r="16" spans="1:23" x14ac:dyDescent="0.35">
      <c r="A16">
        <v>2023</v>
      </c>
      <c r="B16">
        <v>6</v>
      </c>
      <c r="C16" s="36">
        <v>0</v>
      </c>
      <c r="D16" s="2">
        <f t="shared" si="4"/>
        <v>876.39339268018489</v>
      </c>
      <c r="E16">
        <f t="shared" si="5"/>
        <v>1227</v>
      </c>
      <c r="F16">
        <f t="shared" si="5"/>
        <v>0</v>
      </c>
      <c r="G16">
        <f t="shared" si="5"/>
        <v>300</v>
      </c>
      <c r="I16" s="5">
        <f t="shared" si="0"/>
        <v>0</v>
      </c>
      <c r="J16" s="39">
        <f t="shared" si="6"/>
        <v>0</v>
      </c>
      <c r="K16" s="5">
        <f t="shared" si="7"/>
        <v>0</v>
      </c>
      <c r="L16" s="5">
        <f t="shared" si="1"/>
        <v>0</v>
      </c>
      <c r="N16" s="5">
        <f t="shared" si="2"/>
        <v>0</v>
      </c>
      <c r="O16" s="5">
        <f t="shared" si="3"/>
        <v>0</v>
      </c>
      <c r="T16" s="2"/>
    </row>
    <row r="17" spans="1:23" x14ac:dyDescent="0.35">
      <c r="A17">
        <v>2024</v>
      </c>
      <c r="B17">
        <v>7</v>
      </c>
      <c r="C17" s="36">
        <v>0</v>
      </c>
      <c r="D17" s="2">
        <f t="shared" si="4"/>
        <v>876.39339268018489</v>
      </c>
      <c r="E17">
        <f t="shared" si="5"/>
        <v>1227</v>
      </c>
      <c r="F17">
        <f t="shared" si="5"/>
        <v>0</v>
      </c>
      <c r="G17">
        <f t="shared" si="5"/>
        <v>300</v>
      </c>
      <c r="I17" s="5">
        <f t="shared" si="0"/>
        <v>0</v>
      </c>
      <c r="J17" s="39">
        <f t="shared" si="6"/>
        <v>0</v>
      </c>
      <c r="K17" s="5">
        <f t="shared" si="7"/>
        <v>0</v>
      </c>
      <c r="L17" s="5">
        <f t="shared" si="1"/>
        <v>0</v>
      </c>
      <c r="N17" s="5">
        <f t="shared" si="2"/>
        <v>0</v>
      </c>
      <c r="O17" s="5">
        <f t="shared" si="3"/>
        <v>0</v>
      </c>
      <c r="Q17" s="69"/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v>0</v>
      </c>
      <c r="D18" s="2">
        <f t="shared" si="4"/>
        <v>876.39339268018489</v>
      </c>
      <c r="E18">
        <f t="shared" si="5"/>
        <v>1227</v>
      </c>
      <c r="F18">
        <f t="shared" si="5"/>
        <v>0</v>
      </c>
      <c r="G18">
        <f t="shared" si="5"/>
        <v>300</v>
      </c>
      <c r="I18" s="5">
        <f t="shared" si="0"/>
        <v>0</v>
      </c>
      <c r="J18" s="39">
        <f t="shared" si="6"/>
        <v>0</v>
      </c>
      <c r="K18" s="5">
        <f t="shared" si="7"/>
        <v>0</v>
      </c>
      <c r="L18" s="5">
        <f t="shared" si="1"/>
        <v>0</v>
      </c>
      <c r="N18" s="5">
        <f t="shared" si="2"/>
        <v>0</v>
      </c>
      <c r="O18" s="5">
        <f t="shared" si="3"/>
        <v>0</v>
      </c>
      <c r="Q18" s="69"/>
      <c r="R18" s="150" t="s">
        <v>72</v>
      </c>
      <c r="S18" s="150"/>
      <c r="T18" s="150" t="s">
        <v>96</v>
      </c>
      <c r="U18" s="150"/>
      <c r="V18" s="150" t="s">
        <v>98</v>
      </c>
      <c r="W18" s="150"/>
    </row>
    <row r="19" spans="1:23" x14ac:dyDescent="0.35">
      <c r="A19">
        <v>2026</v>
      </c>
      <c r="B19">
        <v>9</v>
      </c>
      <c r="C19" s="36">
        <v>0</v>
      </c>
      <c r="D19" s="2">
        <f t="shared" si="4"/>
        <v>876.39339268018489</v>
      </c>
      <c r="E19">
        <f t="shared" si="5"/>
        <v>1227</v>
      </c>
      <c r="F19">
        <f t="shared" si="5"/>
        <v>0</v>
      </c>
      <c r="G19">
        <f t="shared" si="5"/>
        <v>300</v>
      </c>
      <c r="I19" s="5">
        <f t="shared" si="0"/>
        <v>0</v>
      </c>
      <c r="J19" s="39">
        <f t="shared" si="6"/>
        <v>0</v>
      </c>
      <c r="K19" s="5">
        <f t="shared" si="7"/>
        <v>0</v>
      </c>
      <c r="L19" s="5">
        <f t="shared" si="1"/>
        <v>0</v>
      </c>
      <c r="N19" s="5">
        <f t="shared" si="2"/>
        <v>0</v>
      </c>
      <c r="O19" s="5">
        <f t="shared" si="3"/>
        <v>0</v>
      </c>
      <c r="Q19" s="69"/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v>0</v>
      </c>
      <c r="D20" s="2">
        <f t="shared" si="4"/>
        <v>876.39339268018489</v>
      </c>
      <c r="E20">
        <f t="shared" si="5"/>
        <v>1227</v>
      </c>
      <c r="F20">
        <f t="shared" si="5"/>
        <v>0</v>
      </c>
      <c r="G20">
        <f t="shared" si="5"/>
        <v>300</v>
      </c>
      <c r="I20" s="5">
        <f t="shared" ref="I20:I43" si="8">D20*C20</f>
        <v>0</v>
      </c>
      <c r="J20" s="39">
        <f t="shared" si="6"/>
        <v>0</v>
      </c>
      <c r="K20" s="5">
        <f t="shared" si="7"/>
        <v>0</v>
      </c>
      <c r="L20" s="5">
        <f t="shared" si="1"/>
        <v>0</v>
      </c>
      <c r="N20" s="5">
        <f t="shared" si="2"/>
        <v>0</v>
      </c>
      <c r="O20" s="5">
        <f t="shared" si="3"/>
        <v>0</v>
      </c>
      <c r="Q20" s="68"/>
      <c r="R20" s="32" t="s">
        <v>50</v>
      </c>
      <c r="S20" s="37">
        <v>3.1662670128751098</v>
      </c>
      <c r="T20" s="32" t="s">
        <v>50</v>
      </c>
      <c r="U20" s="37">
        <v>2.6369272772328687</v>
      </c>
      <c r="V20" s="32" t="s">
        <v>50</v>
      </c>
      <c r="W20" s="37">
        <v>3.6956067485173532</v>
      </c>
    </row>
    <row r="21" spans="1:23" x14ac:dyDescent="0.35">
      <c r="A21">
        <v>2028</v>
      </c>
      <c r="B21">
        <v>11</v>
      </c>
      <c r="C21" s="61">
        <f>'BCA - WTP per ha &amp; per year'!C17/11</f>
        <v>28643.636363636364</v>
      </c>
      <c r="D21" s="2">
        <f t="shared" si="4"/>
        <v>876.39339268018489</v>
      </c>
      <c r="E21">
        <f t="shared" si="5"/>
        <v>1227</v>
      </c>
      <c r="F21">
        <f t="shared" si="5"/>
        <v>0</v>
      </c>
      <c r="G21">
        <f t="shared" si="5"/>
        <v>300</v>
      </c>
      <c r="I21" s="5">
        <f t="shared" ref="I21:I35" si="9">D21*C21</f>
        <v>25103093.651424788</v>
      </c>
      <c r="J21" s="85">
        <f>$W$12</f>
        <v>157488026.04111123</v>
      </c>
      <c r="K21" s="5">
        <f>(G21*C21)+(E21*(C21-C20))</f>
        <v>43738832.727272734</v>
      </c>
      <c r="L21" s="5">
        <f t="shared" si="1"/>
        <v>95106278.798360705</v>
      </c>
      <c r="N21" s="5">
        <f t="shared" si="2"/>
        <v>29958726.000066034</v>
      </c>
      <c r="O21" s="5">
        <f t="shared" si="3"/>
        <v>125065004.79842672</v>
      </c>
      <c r="Q21" s="68"/>
      <c r="R21" s="32" t="s">
        <v>51</v>
      </c>
      <c r="S21" s="58">
        <v>2152846975.5955205</v>
      </c>
      <c r="T21" s="32" t="s">
        <v>51</v>
      </c>
      <c r="U21" s="58">
        <v>1626786502.8251526</v>
      </c>
      <c r="V21" s="32" t="s">
        <v>51</v>
      </c>
      <c r="W21" s="58">
        <v>2678907448.3658886</v>
      </c>
    </row>
    <row r="22" spans="1:23" x14ac:dyDescent="0.35">
      <c r="A22">
        <v>2029</v>
      </c>
      <c r="B22">
        <v>12</v>
      </c>
      <c r="C22" s="61">
        <f>$C$21+C21</f>
        <v>57287.272727272728</v>
      </c>
      <c r="D22" s="2">
        <f t="shared" si="4"/>
        <v>876.39339268018489</v>
      </c>
      <c r="E22">
        <f t="shared" si="5"/>
        <v>1227</v>
      </c>
      <c r="F22">
        <f t="shared" si="5"/>
        <v>0</v>
      </c>
      <c r="G22">
        <f t="shared" si="5"/>
        <v>300</v>
      </c>
      <c r="I22" s="5">
        <f t="shared" si="9"/>
        <v>50206187.302849576</v>
      </c>
      <c r="J22" s="39">
        <f>J21</f>
        <v>157488026.04111123</v>
      </c>
      <c r="K22" s="5">
        <f>(G22*C22)+(E22*(C22-C21))</f>
        <v>52331923.63636364</v>
      </c>
      <c r="L22" s="5">
        <f>(I22+J22-K22)/(1+$J$5)^B22</f>
        <v>102816168.51244487</v>
      </c>
      <c r="N22" s="5">
        <f t="shared" si="2"/>
        <v>34632393.029887557</v>
      </c>
      <c r="O22" s="5">
        <f t="shared" si="3"/>
        <v>137448561.54233241</v>
      </c>
      <c r="Q22" s="68"/>
      <c r="R22" s="90"/>
      <c r="S22" s="91"/>
      <c r="T22" s="90"/>
      <c r="U22" s="91"/>
      <c r="V22" s="90"/>
      <c r="W22" s="91"/>
    </row>
    <row r="23" spans="1:23" x14ac:dyDescent="0.35">
      <c r="A23">
        <v>2030</v>
      </c>
      <c r="B23">
        <v>13</v>
      </c>
      <c r="C23" s="61">
        <f t="shared" ref="C23:C31" si="10">$C$21+C22</f>
        <v>85930.909090909088</v>
      </c>
      <c r="D23" s="2">
        <f t="shared" si="4"/>
        <v>876.39339268018489</v>
      </c>
      <c r="E23">
        <f t="shared" si="5"/>
        <v>1227</v>
      </c>
      <c r="F23">
        <f t="shared" si="5"/>
        <v>0</v>
      </c>
      <c r="G23">
        <f t="shared" si="5"/>
        <v>300</v>
      </c>
      <c r="I23" s="5">
        <f t="shared" si="9"/>
        <v>75309280.954274356</v>
      </c>
      <c r="J23" s="39">
        <f t="shared" ref="J23:J43" si="11">J22</f>
        <v>157488026.04111123</v>
      </c>
      <c r="K23" s="5">
        <f t="shared" si="7"/>
        <v>60925014.545454539</v>
      </c>
      <c r="L23" s="5">
        <f t="shared" ref="L23:L40" si="12">(I23+J23-K23)/(1+$J$5)^B23</f>
        <v>109895857.56717794</v>
      </c>
      <c r="N23" s="5">
        <f t="shared" si="2"/>
        <v>38955707.318071567</v>
      </c>
      <c r="O23" s="5">
        <f t="shared" si="3"/>
        <v>148851564.8852495</v>
      </c>
      <c r="Q23" s="68"/>
      <c r="R23" s="90"/>
      <c r="S23" s="92"/>
      <c r="T23" s="90"/>
      <c r="U23" s="92"/>
      <c r="V23" s="90"/>
      <c r="W23" s="92"/>
    </row>
    <row r="24" spans="1:23" x14ac:dyDescent="0.35">
      <c r="A24">
        <v>2031</v>
      </c>
      <c r="B24">
        <v>14</v>
      </c>
      <c r="C24" s="61">
        <f t="shared" si="10"/>
        <v>114574.54545454546</v>
      </c>
      <c r="D24" s="2">
        <f t="shared" si="4"/>
        <v>876.39339268018489</v>
      </c>
      <c r="E24">
        <f t="shared" si="5"/>
        <v>1227</v>
      </c>
      <c r="F24">
        <f t="shared" si="5"/>
        <v>0</v>
      </c>
      <c r="G24">
        <f t="shared" si="5"/>
        <v>300</v>
      </c>
      <c r="I24" s="5">
        <f>D24*C24</f>
        <v>100412374.60569915</v>
      </c>
      <c r="J24" s="39">
        <f t="shared" si="11"/>
        <v>157488026.04111123</v>
      </c>
      <c r="K24" s="5">
        <f t="shared" si="7"/>
        <v>69518105.454545468</v>
      </c>
      <c r="L24" s="5">
        <f t="shared" si="12"/>
        <v>116379151.58030611</v>
      </c>
      <c r="N24" s="5">
        <f t="shared" si="2"/>
        <v>42947019.644351646</v>
      </c>
      <c r="O24" s="5">
        <f t="shared" si="3"/>
        <v>159326171.22465774</v>
      </c>
      <c r="Q24" s="69"/>
    </row>
    <row r="25" spans="1:23" x14ac:dyDescent="0.35">
      <c r="A25">
        <v>2032</v>
      </c>
      <c r="B25">
        <v>15</v>
      </c>
      <c r="C25" s="61">
        <f t="shared" si="10"/>
        <v>143218.18181818182</v>
      </c>
      <c r="D25" s="2">
        <f t="shared" si="4"/>
        <v>876.39339268018489</v>
      </c>
      <c r="E25">
        <f t="shared" si="5"/>
        <v>1227</v>
      </c>
      <c r="F25">
        <f t="shared" si="5"/>
        <v>0</v>
      </c>
      <c r="G25">
        <f t="shared" si="5"/>
        <v>300</v>
      </c>
      <c r="I25" s="5">
        <f t="shared" si="9"/>
        <v>125515468.25712393</v>
      </c>
      <c r="J25" s="39">
        <f t="shared" si="11"/>
        <v>157488026.04111123</v>
      </c>
      <c r="K25" s="5">
        <f t="shared" si="7"/>
        <v>78111196.363636374</v>
      </c>
      <c r="L25" s="5">
        <f t="shared" si="12"/>
        <v>122298290.46564052</v>
      </c>
      <c r="N25" s="5">
        <f t="shared" si="2"/>
        <v>46623840.319014527</v>
      </c>
      <c r="O25" s="5">
        <f t="shared" si="3"/>
        <v>168922130.78465503</v>
      </c>
      <c r="Q25" s="69"/>
      <c r="R25" s="152" t="s">
        <v>13</v>
      </c>
      <c r="S25" s="152"/>
      <c r="T25" s="152" t="s">
        <v>13</v>
      </c>
      <c r="U25" s="152"/>
      <c r="V25" s="152" t="s">
        <v>13</v>
      </c>
      <c r="W25" s="152"/>
    </row>
    <row r="26" spans="1:23" x14ac:dyDescent="0.35">
      <c r="A26">
        <v>2033</v>
      </c>
      <c r="B26">
        <v>16</v>
      </c>
      <c r="C26" s="61">
        <f t="shared" si="10"/>
        <v>171861.81818181818</v>
      </c>
      <c r="D26" s="2">
        <f t="shared" si="4"/>
        <v>876.39339268018489</v>
      </c>
      <c r="E26">
        <f t="shared" si="5"/>
        <v>1227</v>
      </c>
      <c r="F26">
        <f t="shared" si="5"/>
        <v>0</v>
      </c>
      <c r="G26">
        <f t="shared" si="5"/>
        <v>300</v>
      </c>
      <c r="I26" s="5">
        <f t="shared" si="9"/>
        <v>150618561.90854871</v>
      </c>
      <c r="J26" s="39">
        <f t="shared" si="11"/>
        <v>157488026.04111123</v>
      </c>
      <c r="K26" s="5">
        <f t="shared" si="7"/>
        <v>86704287.272727251</v>
      </c>
      <c r="L26" s="5">
        <f t="shared" si="12"/>
        <v>127684015.66764198</v>
      </c>
      <c r="N26" s="5">
        <f t="shared" si="2"/>
        <v>50002875.041199014</v>
      </c>
      <c r="O26" s="5">
        <f t="shared" si="3"/>
        <v>177686890.708841</v>
      </c>
      <c r="Q26" s="68"/>
      <c r="R26" s="150" t="s">
        <v>73</v>
      </c>
      <c r="S26" s="150"/>
      <c r="T26" s="150" t="s">
        <v>97</v>
      </c>
      <c r="U26" s="150"/>
      <c r="V26" s="150" t="s">
        <v>99</v>
      </c>
      <c r="W26" s="150"/>
    </row>
    <row r="27" spans="1:23" x14ac:dyDescent="0.35">
      <c r="A27">
        <v>2034</v>
      </c>
      <c r="B27">
        <v>17</v>
      </c>
      <c r="C27" s="61">
        <f t="shared" si="10"/>
        <v>200505.45454545453</v>
      </c>
      <c r="D27" s="2">
        <f t="shared" si="4"/>
        <v>876.39339268018489</v>
      </c>
      <c r="E27">
        <f t="shared" si="5"/>
        <v>1227</v>
      </c>
      <c r="F27">
        <f t="shared" si="5"/>
        <v>0</v>
      </c>
      <c r="G27">
        <f t="shared" si="5"/>
        <v>300</v>
      </c>
      <c r="I27" s="5">
        <f t="shared" si="9"/>
        <v>175721655.55997351</v>
      </c>
      <c r="J27" s="39">
        <f t="shared" si="11"/>
        <v>157488026.04111123</v>
      </c>
      <c r="K27" s="5">
        <f>(G27*C27)+(E27*(C27-C26))</f>
        <v>95297378.181818157</v>
      </c>
      <c r="L27" s="5">
        <f t="shared" si="12"/>
        <v>132565634.63920124</v>
      </c>
      <c r="N27" s="5">
        <f>(K27)/(1+$J$5)^$B27</f>
        <v>53100059.293115303</v>
      </c>
      <c r="O27" s="5">
        <f>(I27+J27)/(1+$J$5)^$B27</f>
        <v>185665693.93231654</v>
      </c>
      <c r="Q27" s="68"/>
      <c r="S27" s="66" t="s">
        <v>65</v>
      </c>
      <c r="U27" s="66" t="s">
        <v>65</v>
      </c>
      <c r="W27" s="66" t="s">
        <v>65</v>
      </c>
    </row>
    <row r="28" spans="1:23" x14ac:dyDescent="0.35">
      <c r="A28">
        <v>2035</v>
      </c>
      <c r="B28">
        <v>18</v>
      </c>
      <c r="C28" s="61">
        <f t="shared" si="10"/>
        <v>229149.09090909088</v>
      </c>
      <c r="D28" s="2">
        <f t="shared" si="4"/>
        <v>876.39339268018489</v>
      </c>
      <c r="E28">
        <f t="shared" ref="E28:G43" si="13">E27</f>
        <v>1227</v>
      </c>
      <c r="F28">
        <f t="shared" si="13"/>
        <v>0</v>
      </c>
      <c r="G28">
        <f t="shared" si="13"/>
        <v>300</v>
      </c>
      <c r="I28" s="5">
        <f t="shared" si="9"/>
        <v>200824749.21139827</v>
      </c>
      <c r="J28" s="39">
        <f t="shared" si="11"/>
        <v>157488026.04111123</v>
      </c>
      <c r="K28" s="5">
        <f t="shared" si="7"/>
        <v>103890469.09090906</v>
      </c>
      <c r="L28" s="5">
        <f t="shared" si="12"/>
        <v>136971082.67217866</v>
      </c>
      <c r="N28" s="5">
        <f t="shared" si="2"/>
        <v>55930591.328198716</v>
      </c>
      <c r="O28" s="5">
        <f t="shared" si="3"/>
        <v>192901674.00037736</v>
      </c>
      <c r="Q28" s="68"/>
      <c r="R28" s="32" t="s">
        <v>50</v>
      </c>
      <c r="S28" s="37">
        <v>3.4015090414054439</v>
      </c>
      <c r="T28" s="32" t="s">
        <v>50</v>
      </c>
      <c r="U28" s="37">
        <v>2.7596514165727188</v>
      </c>
      <c r="V28" s="32" t="s">
        <v>50</v>
      </c>
      <c r="W28" s="37">
        <v>4.0433666662381684</v>
      </c>
    </row>
    <row r="29" spans="1:23" x14ac:dyDescent="0.35">
      <c r="A29">
        <v>2036</v>
      </c>
      <c r="B29">
        <v>19</v>
      </c>
      <c r="C29" s="61">
        <f t="shared" si="10"/>
        <v>257792.72727272724</v>
      </c>
      <c r="D29" s="2">
        <f t="shared" si="4"/>
        <v>876.39339268018489</v>
      </c>
      <c r="E29">
        <f t="shared" si="13"/>
        <v>1227</v>
      </c>
      <c r="F29">
        <f t="shared" si="13"/>
        <v>0</v>
      </c>
      <c r="G29">
        <f t="shared" si="13"/>
        <v>300</v>
      </c>
      <c r="I29" s="5">
        <f t="shared" si="9"/>
        <v>225927842.86282304</v>
      </c>
      <c r="J29" s="39">
        <f t="shared" si="11"/>
        <v>157488026.04111123</v>
      </c>
      <c r="K29" s="5">
        <f t="shared" si="7"/>
        <v>112483559.99999997</v>
      </c>
      <c r="L29" s="5">
        <f t="shared" si="12"/>
        <v>140926982.18601</v>
      </c>
      <c r="N29" s="5">
        <f t="shared" si="2"/>
        <v>58508963.808962673</v>
      </c>
      <c r="O29" s="5">
        <f t="shared" si="3"/>
        <v>199435945.99497271</v>
      </c>
      <c r="Q29" s="68"/>
      <c r="R29" s="32" t="s">
        <v>51</v>
      </c>
      <c r="S29" s="58">
        <v>2386631678.3327546</v>
      </c>
      <c r="T29" s="32" t="s">
        <v>51</v>
      </c>
      <c r="U29" s="58">
        <v>1748750365.3776734</v>
      </c>
      <c r="V29" s="32" t="s">
        <v>51</v>
      </c>
      <c r="W29" s="58">
        <v>3024512991.2878356</v>
      </c>
    </row>
    <row r="30" spans="1:23" x14ac:dyDescent="0.35">
      <c r="A30">
        <v>2037</v>
      </c>
      <c r="B30">
        <v>20</v>
      </c>
      <c r="C30" s="61">
        <f t="shared" si="10"/>
        <v>286436.36363636359</v>
      </c>
      <c r="D30" s="2">
        <f t="shared" si="4"/>
        <v>876.39339268018489</v>
      </c>
      <c r="E30">
        <f t="shared" si="13"/>
        <v>1227</v>
      </c>
      <c r="F30">
        <f t="shared" si="13"/>
        <v>0</v>
      </c>
      <c r="G30">
        <f t="shared" si="13"/>
        <v>300</v>
      </c>
      <c r="I30" s="5">
        <f t="shared" si="9"/>
        <v>251030936.51424783</v>
      </c>
      <c r="J30" s="39">
        <f t="shared" si="11"/>
        <v>157488026.04111123</v>
      </c>
      <c r="K30" s="5">
        <f t="shared" si="7"/>
        <v>121076650.90909088</v>
      </c>
      <c r="L30" s="5">
        <f t="shared" si="12"/>
        <v>144458699.57559067</v>
      </c>
      <c r="N30" s="5">
        <f t="shared" si="2"/>
        <v>60848994.148151897</v>
      </c>
      <c r="O30" s="5">
        <f t="shared" si="3"/>
        <v>205307693.72374257</v>
      </c>
      <c r="Q30" s="69"/>
      <c r="R30" s="90"/>
      <c r="S30" s="91"/>
      <c r="T30" s="90"/>
      <c r="U30" s="91"/>
      <c r="V30" s="90"/>
      <c r="W30" s="91"/>
    </row>
    <row r="31" spans="1:23" x14ac:dyDescent="0.35">
      <c r="A31">
        <v>2038</v>
      </c>
      <c r="B31">
        <v>21</v>
      </c>
      <c r="C31" s="61">
        <f t="shared" si="10"/>
        <v>315079.99999999994</v>
      </c>
      <c r="D31" s="2">
        <f t="shared" si="4"/>
        <v>876.39339268018489</v>
      </c>
      <c r="E31">
        <f t="shared" si="13"/>
        <v>1227</v>
      </c>
      <c r="F31">
        <f t="shared" si="13"/>
        <v>0</v>
      </c>
      <c r="G31">
        <f t="shared" si="13"/>
        <v>300</v>
      </c>
      <c r="I31" s="5">
        <f t="shared" si="9"/>
        <v>276134030.1656726</v>
      </c>
      <c r="J31" s="39">
        <f t="shared" si="11"/>
        <v>157488026.04111123</v>
      </c>
      <c r="K31" s="5">
        <f t="shared" si="7"/>
        <v>129669741.81818178</v>
      </c>
      <c r="L31" s="5">
        <f t="shared" si="12"/>
        <v>147590399.71571112</v>
      </c>
      <c r="N31" s="5">
        <f t="shared" si="2"/>
        <v>62963853.604715876</v>
      </c>
      <c r="O31" s="5">
        <f t="shared" si="3"/>
        <v>210554253.320427</v>
      </c>
      <c r="Q31" s="69"/>
      <c r="R31" s="90"/>
      <c r="S31" s="92"/>
      <c r="T31" s="90"/>
      <c r="U31" s="92"/>
      <c r="V31" s="90"/>
      <c r="W31" s="92"/>
    </row>
    <row r="32" spans="1:23" x14ac:dyDescent="0.35">
      <c r="A32">
        <v>2039</v>
      </c>
      <c r="B32">
        <v>22</v>
      </c>
      <c r="C32" s="36">
        <f t="shared" ref="C32:C43" si="14">C31</f>
        <v>315079.99999999994</v>
      </c>
      <c r="D32" s="2">
        <f t="shared" si="4"/>
        <v>876.39339268018489</v>
      </c>
      <c r="E32">
        <f t="shared" si="13"/>
        <v>1227</v>
      </c>
      <c r="F32">
        <f t="shared" si="13"/>
        <v>0</v>
      </c>
      <c r="G32">
        <f t="shared" si="13"/>
        <v>300</v>
      </c>
      <c r="I32" s="5">
        <f t="shared" si="9"/>
        <v>276134030.1656726</v>
      </c>
      <c r="J32" s="39">
        <f t="shared" si="11"/>
        <v>157488026.04111123</v>
      </c>
      <c r="K32" s="5">
        <f t="shared" si="7"/>
        <v>94523999.999999985</v>
      </c>
      <c r="L32" s="5">
        <f t="shared" si="12"/>
        <v>159088066.95756981</v>
      </c>
      <c r="N32" s="5">
        <f t="shared" si="2"/>
        <v>44345994.221586719</v>
      </c>
      <c r="O32" s="5">
        <f t="shared" si="3"/>
        <v>203434061.17915651</v>
      </c>
      <c r="Q32" s="69"/>
      <c r="R32" s="68"/>
      <c r="S32" s="63"/>
    </row>
    <row r="33" spans="1:21" x14ac:dyDescent="0.35">
      <c r="A33">
        <v>2040</v>
      </c>
      <c r="B33">
        <v>23</v>
      </c>
      <c r="C33" s="36">
        <f t="shared" si="14"/>
        <v>315079.99999999994</v>
      </c>
      <c r="D33" s="2">
        <f t="shared" si="4"/>
        <v>876.39339268018489</v>
      </c>
      <c r="E33">
        <f t="shared" si="13"/>
        <v>1227</v>
      </c>
      <c r="F33">
        <f t="shared" si="13"/>
        <v>0</v>
      </c>
      <c r="G33">
        <f t="shared" si="13"/>
        <v>300</v>
      </c>
      <c r="I33" s="5">
        <f t="shared" si="9"/>
        <v>276134030.1656726</v>
      </c>
      <c r="J33" s="39">
        <f>J32</f>
        <v>157488026.04111123</v>
      </c>
      <c r="K33" s="5">
        <f t="shared" si="7"/>
        <v>94523999.999999985</v>
      </c>
      <c r="L33" s="5">
        <f t="shared" si="12"/>
        <v>153708277.25369063</v>
      </c>
      <c r="N33" s="5">
        <f t="shared" ref="N33:N38" si="15">(K33)/(1+$J$5)^$B33</f>
        <v>42846371.228586204</v>
      </c>
      <c r="O33" s="5">
        <f t="shared" si="3"/>
        <v>196554648.48227683</v>
      </c>
      <c r="Q33" s="69"/>
      <c r="R33" s="71"/>
      <c r="S33" s="71"/>
      <c r="T33" s="71"/>
      <c r="U33" s="72"/>
    </row>
    <row r="34" spans="1:21" x14ac:dyDescent="0.35">
      <c r="A34">
        <v>2041</v>
      </c>
      <c r="B34">
        <v>24</v>
      </c>
      <c r="C34" s="36">
        <f t="shared" si="14"/>
        <v>315079.99999999994</v>
      </c>
      <c r="D34" s="2">
        <f t="shared" si="4"/>
        <v>876.39339268018489</v>
      </c>
      <c r="E34">
        <f t="shared" si="13"/>
        <v>1227</v>
      </c>
      <c r="F34">
        <f t="shared" si="13"/>
        <v>0</v>
      </c>
      <c r="G34">
        <f t="shared" si="13"/>
        <v>300</v>
      </c>
      <c r="I34" s="5">
        <f t="shared" si="9"/>
        <v>276134030.1656726</v>
      </c>
      <c r="J34" s="39">
        <f t="shared" si="11"/>
        <v>157488026.04111123</v>
      </c>
      <c r="K34" s="5">
        <f t="shared" si="7"/>
        <v>94523999.999999985</v>
      </c>
      <c r="L34" s="5">
        <f t="shared" si="12"/>
        <v>148510412.80549821</v>
      </c>
      <c r="N34" s="5">
        <f t="shared" si="15"/>
        <v>41397460.124237888</v>
      </c>
      <c r="O34" s="5">
        <f t="shared" si="3"/>
        <v>189907872.92973611</v>
      </c>
      <c r="Q34" s="68"/>
      <c r="R34" s="69"/>
      <c r="S34" s="83"/>
      <c r="T34" s="83"/>
      <c r="U34" s="62"/>
    </row>
    <row r="35" spans="1:21" x14ac:dyDescent="0.35">
      <c r="A35">
        <v>2042</v>
      </c>
      <c r="B35">
        <v>25</v>
      </c>
      <c r="C35" s="36">
        <f t="shared" si="14"/>
        <v>315079.99999999994</v>
      </c>
      <c r="D35" s="2">
        <f t="shared" si="4"/>
        <v>876.39339268018489</v>
      </c>
      <c r="E35">
        <f t="shared" si="13"/>
        <v>1227</v>
      </c>
      <c r="F35">
        <f t="shared" si="13"/>
        <v>0</v>
      </c>
      <c r="G35">
        <f t="shared" si="13"/>
        <v>300</v>
      </c>
      <c r="I35" s="5">
        <f t="shared" si="9"/>
        <v>276134030.1656726</v>
      </c>
      <c r="J35" s="39">
        <f t="shared" si="11"/>
        <v>157488026.04111123</v>
      </c>
      <c r="K35" s="5">
        <f>(G35*C35)+(E35*(C35-C34))</f>
        <v>94523999.999999985</v>
      </c>
      <c r="L35" s="5">
        <f t="shared" si="12"/>
        <v>143488321.55120602</v>
      </c>
      <c r="N35" s="5">
        <f t="shared" si="15"/>
        <v>39997546.013756417</v>
      </c>
      <c r="O35" s="5">
        <f t="shared" si="3"/>
        <v>183485867.56496245</v>
      </c>
      <c r="Q35" s="68"/>
      <c r="R35" s="68"/>
      <c r="S35" s="62"/>
      <c r="T35" s="62"/>
      <c r="U35" s="62"/>
    </row>
    <row r="36" spans="1:21" x14ac:dyDescent="0.35">
      <c r="A36">
        <v>2043</v>
      </c>
      <c r="B36">
        <v>26</v>
      </c>
      <c r="C36" s="36">
        <f t="shared" si="14"/>
        <v>315079.99999999994</v>
      </c>
      <c r="D36" s="2">
        <f t="shared" si="4"/>
        <v>876.39339268018489</v>
      </c>
      <c r="E36">
        <f t="shared" si="13"/>
        <v>1227</v>
      </c>
      <c r="F36">
        <f t="shared" si="13"/>
        <v>0</v>
      </c>
      <c r="G36">
        <f t="shared" si="13"/>
        <v>300</v>
      </c>
      <c r="I36" s="5">
        <f t="shared" si="8"/>
        <v>276134030.1656726</v>
      </c>
      <c r="J36" s="39">
        <f t="shared" si="11"/>
        <v>157488026.04111123</v>
      </c>
      <c r="K36" s="5">
        <f t="shared" si="7"/>
        <v>94523999.999999985</v>
      </c>
      <c r="L36" s="5">
        <f t="shared" si="12"/>
        <v>138636059.46976429</v>
      </c>
      <c r="N36" s="5">
        <f t="shared" si="15"/>
        <v>38644971.993967555</v>
      </c>
      <c r="O36" s="5">
        <f t="shared" si="3"/>
        <v>177281031.46373183</v>
      </c>
      <c r="Q36" s="68"/>
      <c r="R36" s="68"/>
      <c r="S36" s="63"/>
      <c r="T36" s="63"/>
      <c r="U36" s="63"/>
    </row>
    <row r="37" spans="1:21" x14ac:dyDescent="0.35">
      <c r="A37">
        <v>2044</v>
      </c>
      <c r="B37">
        <v>27</v>
      </c>
      <c r="C37" s="36">
        <f t="shared" si="14"/>
        <v>315079.99999999994</v>
      </c>
      <c r="D37" s="2">
        <f t="shared" si="4"/>
        <v>876.39339268018489</v>
      </c>
      <c r="E37">
        <f t="shared" si="13"/>
        <v>1227</v>
      </c>
      <c r="F37">
        <f t="shared" si="13"/>
        <v>0</v>
      </c>
      <c r="G37">
        <f t="shared" si="13"/>
        <v>300</v>
      </c>
      <c r="I37" s="5">
        <f t="shared" si="8"/>
        <v>276134030.1656726</v>
      </c>
      <c r="J37" s="39">
        <f t="shared" si="11"/>
        <v>157488026.04111123</v>
      </c>
      <c r="K37" s="5">
        <f t="shared" si="7"/>
        <v>94523999.999999985</v>
      </c>
      <c r="L37" s="5">
        <f t="shared" si="12"/>
        <v>133947883.54566596</v>
      </c>
      <c r="N37" s="5">
        <f t="shared" si="15"/>
        <v>37338137.19223918</v>
      </c>
      <c r="O37" s="5">
        <f t="shared" si="3"/>
        <v>171286020.73790514</v>
      </c>
      <c r="Q37" s="68"/>
      <c r="R37" s="63"/>
      <c r="S37" s="63"/>
      <c r="T37" s="63"/>
      <c r="U37" s="63"/>
    </row>
    <row r="38" spans="1:21" x14ac:dyDescent="0.35">
      <c r="A38">
        <v>2045</v>
      </c>
      <c r="B38">
        <v>28</v>
      </c>
      <c r="C38" s="36">
        <f t="shared" si="14"/>
        <v>315079.99999999994</v>
      </c>
      <c r="D38" s="2">
        <f t="shared" si="4"/>
        <v>876.39339268018489</v>
      </c>
      <c r="E38">
        <f t="shared" si="13"/>
        <v>1227</v>
      </c>
      <c r="F38">
        <f t="shared" si="13"/>
        <v>0</v>
      </c>
      <c r="G38">
        <f t="shared" si="13"/>
        <v>300</v>
      </c>
      <c r="I38" s="5">
        <f t="shared" si="8"/>
        <v>276134030.1656726</v>
      </c>
      <c r="J38" s="39">
        <f t="shared" si="11"/>
        <v>157488026.04111123</v>
      </c>
      <c r="K38" s="5">
        <f t="shared" si="7"/>
        <v>94523999.999999985</v>
      </c>
      <c r="L38" s="5">
        <f t="shared" si="12"/>
        <v>129418244.97165795</v>
      </c>
      <c r="N38" s="5">
        <f t="shared" si="15"/>
        <v>36075494.871728681</v>
      </c>
      <c r="O38" s="5">
        <f>(I38+J38)/(1+$J$5)^$B38</f>
        <v>165493739.84338662</v>
      </c>
      <c r="Q38" s="69"/>
      <c r="R38" s="71"/>
      <c r="S38" s="71"/>
      <c r="T38" s="71"/>
      <c r="U38" s="71"/>
    </row>
    <row r="39" spans="1:21" x14ac:dyDescent="0.35">
      <c r="A39">
        <v>2046</v>
      </c>
      <c r="B39">
        <v>29</v>
      </c>
      <c r="C39" s="36">
        <f t="shared" si="14"/>
        <v>315079.99999999994</v>
      </c>
      <c r="D39" s="2">
        <f t="shared" si="4"/>
        <v>876.39339268018489</v>
      </c>
      <c r="E39">
        <f t="shared" si="13"/>
        <v>1227</v>
      </c>
      <c r="F39">
        <f t="shared" si="13"/>
        <v>0</v>
      </c>
      <c r="G39">
        <f t="shared" si="13"/>
        <v>300</v>
      </c>
      <c r="I39" s="5">
        <f t="shared" si="8"/>
        <v>276134030.1656726</v>
      </c>
      <c r="J39" s="39">
        <f t="shared" si="11"/>
        <v>157488026.04111123</v>
      </c>
      <c r="K39" s="5">
        <f t="shared" si="7"/>
        <v>94523999.999999985</v>
      </c>
      <c r="L39" s="5">
        <f t="shared" si="12"/>
        <v>125041782.58131205</v>
      </c>
      <c r="N39" s="5">
        <f>(K39)/(1+$J$5)^$B39</f>
        <v>34855550.600704044</v>
      </c>
      <c r="O39" s="5">
        <f t="shared" si="3"/>
        <v>159897333.1820161</v>
      </c>
      <c r="Q39" s="69"/>
      <c r="R39" s="72"/>
      <c r="S39" s="72"/>
      <c r="T39" s="72"/>
      <c r="U39" s="72"/>
    </row>
    <row r="40" spans="1:21" x14ac:dyDescent="0.35">
      <c r="A40">
        <v>2047</v>
      </c>
      <c r="B40">
        <v>30</v>
      </c>
      <c r="C40" s="36">
        <f t="shared" si="14"/>
        <v>315079.99999999994</v>
      </c>
      <c r="D40" s="2">
        <f t="shared" si="4"/>
        <v>876.39339268018489</v>
      </c>
      <c r="E40">
        <f t="shared" si="13"/>
        <v>1227</v>
      </c>
      <c r="F40">
        <f t="shared" si="13"/>
        <v>0</v>
      </c>
      <c r="G40">
        <f t="shared" si="13"/>
        <v>300</v>
      </c>
      <c r="I40" s="5">
        <f>D40*C40</f>
        <v>276134030.1656726</v>
      </c>
      <c r="J40" s="39">
        <f>J39</f>
        <v>157488026.04111123</v>
      </c>
      <c r="K40" s="5">
        <f t="shared" si="7"/>
        <v>94523999.999999985</v>
      </c>
      <c r="L40" s="5">
        <f t="shared" si="12"/>
        <v>120813316.50368313</v>
      </c>
      <c r="N40" s="5">
        <f>(K40)/(1+$J$5)^$B40</f>
        <v>33676860.483772025</v>
      </c>
      <c r="O40" s="5">
        <f t="shared" si="3"/>
        <v>154490176.98745516</v>
      </c>
      <c r="Q40" s="68"/>
      <c r="R40" s="62"/>
      <c r="S40" s="62"/>
      <c r="T40" s="62"/>
      <c r="U40" s="62"/>
    </row>
    <row r="41" spans="1:21" x14ac:dyDescent="0.35">
      <c r="A41">
        <v>2048</v>
      </c>
      <c r="B41">
        <v>31</v>
      </c>
      <c r="C41" s="36">
        <f t="shared" si="14"/>
        <v>315079.99999999994</v>
      </c>
      <c r="D41" s="2">
        <f t="shared" si="4"/>
        <v>876.39339268018489</v>
      </c>
      <c r="E41">
        <f t="shared" si="13"/>
        <v>1227</v>
      </c>
      <c r="F41">
        <f t="shared" si="13"/>
        <v>0</v>
      </c>
      <c r="G41">
        <f t="shared" si="13"/>
        <v>300</v>
      </c>
      <c r="I41" s="5">
        <f t="shared" si="8"/>
        <v>276134030.1656726</v>
      </c>
      <c r="J41" s="39">
        <f t="shared" si="11"/>
        <v>157488026.04111123</v>
      </c>
      <c r="K41" s="5">
        <f>(G41*C41)+(E41*(C41-C40))</f>
        <v>94523999.999999985</v>
      </c>
      <c r="L41" s="5">
        <f>(I41+J41-K41)/(1+$J$6)^B41</f>
        <v>135634863.43182108</v>
      </c>
      <c r="N41" s="5">
        <f>(K41)/(1+$J$6)^$B41</f>
        <v>37808384.909205407</v>
      </c>
      <c r="O41" s="5">
        <f>(I41+J41)/(1+$J$6)^$B41</f>
        <v>173443248.34102648</v>
      </c>
      <c r="Q41" s="68"/>
      <c r="R41" s="62"/>
      <c r="S41" s="62"/>
      <c r="T41" s="62"/>
      <c r="U41" s="62"/>
    </row>
    <row r="42" spans="1:21" x14ac:dyDescent="0.35">
      <c r="A42">
        <v>2049</v>
      </c>
      <c r="B42">
        <v>32</v>
      </c>
      <c r="C42" s="36">
        <f t="shared" si="14"/>
        <v>315079.99999999994</v>
      </c>
      <c r="D42" s="2">
        <f t="shared" si="4"/>
        <v>876.39339268018489</v>
      </c>
      <c r="E42">
        <f t="shared" si="13"/>
        <v>1227</v>
      </c>
      <c r="F42">
        <f t="shared" si="13"/>
        <v>0</v>
      </c>
      <c r="G42">
        <f t="shared" si="13"/>
        <v>300</v>
      </c>
      <c r="I42" s="5">
        <f t="shared" si="8"/>
        <v>276134030.1656726</v>
      </c>
      <c r="J42" s="39">
        <f t="shared" si="11"/>
        <v>157488026.04111123</v>
      </c>
      <c r="K42" s="5">
        <f t="shared" si="7"/>
        <v>94523999.999999985</v>
      </c>
      <c r="L42" s="5">
        <f>(I42+J42-K42)/(1+$J$6)^B42</f>
        <v>131684333.42895253</v>
      </c>
      <c r="N42" s="5">
        <f>(K42)/(1+$J$6)^$B42</f>
        <v>36707169.81476254</v>
      </c>
      <c r="O42" s="5">
        <f>(I42+J42)/(1+$J$6)^$B42</f>
        <v>168391503.24371508</v>
      </c>
      <c r="Q42" s="68"/>
      <c r="R42" s="63"/>
      <c r="S42" s="63"/>
      <c r="T42" s="63"/>
      <c r="U42" s="63"/>
    </row>
    <row r="43" spans="1:21" x14ac:dyDescent="0.35">
      <c r="A43">
        <v>2050</v>
      </c>
      <c r="B43">
        <v>33</v>
      </c>
      <c r="C43" s="36">
        <f t="shared" si="14"/>
        <v>315079.99999999994</v>
      </c>
      <c r="D43" s="2">
        <f t="shared" si="4"/>
        <v>876.39339268018489</v>
      </c>
      <c r="E43">
        <f t="shared" si="13"/>
        <v>1227</v>
      </c>
      <c r="F43">
        <f t="shared" si="13"/>
        <v>0</v>
      </c>
      <c r="G43">
        <f t="shared" si="13"/>
        <v>300</v>
      </c>
      <c r="I43" s="5">
        <f t="shared" si="8"/>
        <v>276134030.1656726</v>
      </c>
      <c r="J43" s="39">
        <f t="shared" si="11"/>
        <v>157488026.04111123</v>
      </c>
      <c r="K43" s="5">
        <f t="shared" si="7"/>
        <v>94523999.999999985</v>
      </c>
      <c r="L43" s="5">
        <f>(I43+J43-K43)/(1+$J$6)^B43</f>
        <v>127848867.40675002</v>
      </c>
      <c r="N43" s="5">
        <f>(K43)/(1+$J$6)^$B43</f>
        <v>35638028.946371399</v>
      </c>
      <c r="O43" s="5">
        <f>(I43+J43)/(1+$J$6)^$B43</f>
        <v>163486896.35312143</v>
      </c>
      <c r="Q43" s="68"/>
      <c r="R43" s="63"/>
      <c r="S43" s="63"/>
      <c r="T43" s="63"/>
      <c r="U43" s="63"/>
    </row>
    <row r="44" spans="1:21" ht="15" thickBot="1" x14ac:dyDescent="0.4"/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3024512991.2878356</v>
      </c>
      <c r="N45" s="5">
        <f>SUM(N10:N43)</f>
        <v>993804993.93665302</v>
      </c>
      <c r="O45" s="5">
        <f>SUM(O10:O43)</f>
        <v>4018317985.2244883</v>
      </c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4.0433666662381684</v>
      </c>
    </row>
    <row r="49" spans="3:15" x14ac:dyDescent="0.35">
      <c r="C49" s="36"/>
      <c r="D49" s="2"/>
      <c r="I49" s="5"/>
      <c r="J49" s="39"/>
      <c r="K49" s="5"/>
      <c r="L49" s="5"/>
      <c r="N49" s="5"/>
      <c r="O49" s="5"/>
    </row>
    <row r="50" spans="3:15" x14ac:dyDescent="0.35">
      <c r="C50" s="142" t="s">
        <v>166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5"/>
    </row>
    <row r="51" spans="3:15" x14ac:dyDescent="0.35"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5"/>
    </row>
  </sheetData>
  <mergeCells count="18">
    <mergeCell ref="V26:W26"/>
    <mergeCell ref="T26:U26"/>
    <mergeCell ref="V9:W9"/>
    <mergeCell ref="T17:U17"/>
    <mergeCell ref="V17:W17"/>
    <mergeCell ref="T18:U18"/>
    <mergeCell ref="V18:W18"/>
    <mergeCell ref="T9:U9"/>
    <mergeCell ref="T25:U25"/>
    <mergeCell ref="V25:W25"/>
    <mergeCell ref="C50:N51"/>
    <mergeCell ref="I46:J46"/>
    <mergeCell ref="I8:J8"/>
    <mergeCell ref="R9:S9"/>
    <mergeCell ref="R17:S17"/>
    <mergeCell ref="R18:S18"/>
    <mergeCell ref="R25:S25"/>
    <mergeCell ref="R26:S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80" zoomScaleNormal="80" workbookViewId="0">
      <selection activeCell="D7" sqref="D7"/>
    </sheetView>
  </sheetViews>
  <sheetFormatPr defaultRowHeight="14.5" x14ac:dyDescent="0.35"/>
  <cols>
    <col min="3" max="3" width="11" bestFit="1" customWidth="1"/>
    <col min="4" max="4" width="10.26953125" customWidth="1"/>
    <col min="6" max="6" width="11.26953125" customWidth="1"/>
    <col min="7" max="7" width="11.7265625" customWidth="1"/>
    <col min="8" max="8" width="14.7265625" customWidth="1"/>
    <col min="9" max="9" width="18.54296875" customWidth="1"/>
    <col min="10" max="11" width="17.7265625" bestFit="1" customWidth="1"/>
    <col min="12" max="12" width="26.453125" bestFit="1" customWidth="1"/>
    <col min="14" max="14" width="22" bestFit="1" customWidth="1"/>
    <col min="15" max="15" width="25" bestFit="1" customWidth="1"/>
    <col min="17" max="17" width="19.81640625" customWidth="1"/>
    <col min="18" max="18" width="36.26953125" customWidth="1"/>
    <col min="19" max="19" width="29.26953125" customWidth="1"/>
    <col min="20" max="20" width="37.26953125" customWidth="1"/>
    <col min="21" max="21" width="26.7265625" bestFit="1" customWidth="1"/>
    <col min="22" max="22" width="37.81640625" customWidth="1"/>
    <col min="23" max="23" width="26.26953125" customWidth="1"/>
  </cols>
  <sheetData>
    <row r="1" spans="1:23" ht="15" thickBot="1" x14ac:dyDescent="0.4"/>
    <row r="2" spans="1:23" x14ac:dyDescent="0.35">
      <c r="B2" s="57" t="s">
        <v>49</v>
      </c>
      <c r="C2" s="54"/>
      <c r="D2" s="54"/>
      <c r="E2" s="54"/>
      <c r="F2" s="54"/>
      <c r="G2" s="54"/>
      <c r="H2" s="54"/>
      <c r="I2" s="55"/>
    </row>
    <row r="3" spans="1:23" x14ac:dyDescent="0.35">
      <c r="B3" s="49" t="s">
        <v>185</v>
      </c>
      <c r="C3" s="50"/>
      <c r="D3" s="50"/>
      <c r="E3" s="50"/>
      <c r="F3" s="50"/>
      <c r="G3" s="50"/>
      <c r="H3" s="50"/>
      <c r="I3" s="51"/>
    </row>
    <row r="4" spans="1:23" ht="15" thickBot="1" x14ac:dyDescent="0.4">
      <c r="B4" s="52" t="s">
        <v>52</v>
      </c>
      <c r="C4" s="53"/>
      <c r="D4" s="53"/>
      <c r="E4" s="53"/>
      <c r="F4" s="53"/>
      <c r="G4" s="53"/>
      <c r="H4" s="53"/>
      <c r="I4" s="56"/>
    </row>
    <row r="5" spans="1:23" ht="15" thickBot="1" x14ac:dyDescent="0.4">
      <c r="B5" s="11"/>
      <c r="C5" s="11"/>
      <c r="D5" s="11"/>
      <c r="J5" s="41">
        <v>3.5000000000000003E-2</v>
      </c>
      <c r="K5" t="s">
        <v>53</v>
      </c>
    </row>
    <row r="6" spans="1:23" ht="15" thickBot="1" x14ac:dyDescent="0.4">
      <c r="I6" t="s">
        <v>34</v>
      </c>
      <c r="J6" s="41">
        <v>0.03</v>
      </c>
      <c r="K6" t="s">
        <v>54</v>
      </c>
    </row>
    <row r="7" spans="1:23" x14ac:dyDescent="0.35">
      <c r="J7" s="26"/>
    </row>
    <row r="8" spans="1:23" x14ac:dyDescent="0.35">
      <c r="I8" s="148"/>
      <c r="J8" s="148"/>
      <c r="T8" s="2"/>
    </row>
    <row r="9" spans="1:23" x14ac:dyDescent="0.35">
      <c r="C9" s="42" t="s">
        <v>22</v>
      </c>
      <c r="D9" s="42" t="s">
        <v>35</v>
      </c>
      <c r="E9" s="42" t="s">
        <v>36</v>
      </c>
      <c r="F9" s="42" t="s">
        <v>37</v>
      </c>
      <c r="G9" s="42" t="s">
        <v>38</v>
      </c>
      <c r="H9" s="42"/>
      <c r="I9" s="43" t="s">
        <v>45</v>
      </c>
      <c r="J9" s="43" t="s">
        <v>46</v>
      </c>
      <c r="K9" s="43" t="s">
        <v>39</v>
      </c>
      <c r="L9" s="43" t="s">
        <v>40</v>
      </c>
      <c r="M9" s="43"/>
      <c r="N9" s="43" t="s">
        <v>47</v>
      </c>
      <c r="O9" s="43" t="s">
        <v>48</v>
      </c>
      <c r="Q9" s="38"/>
      <c r="R9" s="153" t="s">
        <v>86</v>
      </c>
      <c r="S9" s="153"/>
      <c r="T9" s="153" t="s">
        <v>87</v>
      </c>
      <c r="U9" s="153"/>
      <c r="V9" s="153" t="s">
        <v>91</v>
      </c>
      <c r="W9" s="153"/>
    </row>
    <row r="10" spans="1:23" ht="15" thickBot="1" x14ac:dyDescent="0.4">
      <c r="A10">
        <v>2017</v>
      </c>
      <c r="B10">
        <v>0</v>
      </c>
      <c r="C10" s="36">
        <v>0</v>
      </c>
      <c r="D10" s="87">
        <f>V12</f>
        <v>605.70656485014376</v>
      </c>
      <c r="E10" s="88">
        <v>1227</v>
      </c>
      <c r="F10">
        <v>0</v>
      </c>
      <c r="G10" s="88">
        <v>300</v>
      </c>
      <c r="I10" s="5">
        <f>D10*C10</f>
        <v>0</v>
      </c>
      <c r="J10" s="85">
        <f>0</f>
        <v>0</v>
      </c>
      <c r="K10" s="89">
        <f>(G10*C10)+(E10*C10)</f>
        <v>0</v>
      </c>
      <c r="L10" s="5">
        <f>(I10+J10-K10)/(1+$J$5)^B10</f>
        <v>0</v>
      </c>
      <c r="N10" s="5">
        <f>(K10)/(1+$J$5)^$B10</f>
        <v>0</v>
      </c>
      <c r="O10" s="5">
        <f>(I10+J10)/(1+$J$5)^$B10</f>
        <v>0</v>
      </c>
      <c r="R10" s="76" t="s">
        <v>79</v>
      </c>
      <c r="S10" s="28" t="s">
        <v>80</v>
      </c>
      <c r="T10" s="76" t="s">
        <v>79</v>
      </c>
      <c r="U10" s="28" t="s">
        <v>80</v>
      </c>
      <c r="V10" s="76" t="s">
        <v>79</v>
      </c>
      <c r="W10" s="28" t="s">
        <v>80</v>
      </c>
    </row>
    <row r="11" spans="1:23" ht="15" thickBot="1" x14ac:dyDescent="0.4">
      <c r="A11">
        <v>2018</v>
      </c>
      <c r="B11">
        <v>1</v>
      </c>
      <c r="C11" s="36">
        <v>0</v>
      </c>
      <c r="D11" s="2">
        <f>$D$10</f>
        <v>605.70656485014376</v>
      </c>
      <c r="E11">
        <f>E10</f>
        <v>1227</v>
      </c>
      <c r="F11">
        <v>0</v>
      </c>
      <c r="G11">
        <f>G10</f>
        <v>300</v>
      </c>
      <c r="I11" s="5">
        <f t="shared" ref="I11:I43" si="0">D11*C11</f>
        <v>0</v>
      </c>
      <c r="J11" s="39">
        <f>J10</f>
        <v>0</v>
      </c>
      <c r="K11" s="89">
        <f>(G11*C11)+(E11*(C11-C10))</f>
        <v>0</v>
      </c>
      <c r="L11" s="5">
        <f t="shared" ref="L11:L40" si="1">(I11+J11-K11)/(1+$J$5)^B11</f>
        <v>0</v>
      </c>
      <c r="N11" s="5">
        <f t="shared" ref="N11:N40" si="2">(K11)/(1+$J$5)^$B11</f>
        <v>0</v>
      </c>
      <c r="O11" s="5">
        <f t="shared" ref="O11:O40" si="3">(I11+J11)/(1+$J$5)^$B11</f>
        <v>0</v>
      </c>
      <c r="Q11" t="s">
        <v>43</v>
      </c>
      <c r="R11" s="44">
        <f>'BCA - WTP per ha &amp; per year'!D19</f>
        <v>401.86175571988736</v>
      </c>
      <c r="S11" s="44">
        <f>'BCA - WTP per ha &amp; per year'!$B$25</f>
        <v>137995426.09910053</v>
      </c>
      <c r="T11" s="44">
        <f>'BCA - WTP per ha &amp; per year'!$D$35</f>
        <v>336.35021612068419</v>
      </c>
      <c r="U11" s="44">
        <f>'BCA - WTP per ha &amp; per year'!$B$39</f>
        <v>113706165.73898624</v>
      </c>
      <c r="V11" s="44">
        <f>'BCA - WTP per ha &amp; per year'!$D$60</f>
        <v>467.37329531909052</v>
      </c>
      <c r="W11" s="44">
        <f>'BCA - WTP per ha &amp; per year'!$B$64</f>
        <v>162284686.45921484</v>
      </c>
    </row>
    <row r="12" spans="1:23" ht="15" thickBot="1" x14ac:dyDescent="0.4">
      <c r="A12">
        <v>2019</v>
      </c>
      <c r="B12">
        <v>2</v>
      </c>
      <c r="C12" s="36">
        <v>0</v>
      </c>
      <c r="D12" s="2">
        <f t="shared" ref="D12:D43" si="4">$D$10</f>
        <v>605.70656485014376</v>
      </c>
      <c r="E12">
        <f t="shared" ref="E12:G27" si="5">E11</f>
        <v>1227</v>
      </c>
      <c r="F12">
        <f t="shared" si="5"/>
        <v>0</v>
      </c>
      <c r="G12">
        <f t="shared" si="5"/>
        <v>300</v>
      </c>
      <c r="I12" s="5">
        <f t="shared" si="0"/>
        <v>0</v>
      </c>
      <c r="J12" s="39">
        <f t="shared" ref="J12:J19" si="6">J11</f>
        <v>0</v>
      </c>
      <c r="K12" s="5">
        <f t="shared" ref="K12:K43" si="7">(G12*C12)+(E12*(C12-C11))</f>
        <v>0</v>
      </c>
      <c r="L12" s="5">
        <f t="shared" si="1"/>
        <v>0</v>
      </c>
      <c r="N12" s="5">
        <f t="shared" si="2"/>
        <v>0</v>
      </c>
      <c r="O12" s="5">
        <f t="shared" si="3"/>
        <v>0</v>
      </c>
      <c r="Q12" t="s">
        <v>44</v>
      </c>
      <c r="R12" s="44">
        <f>'BCA - WTP per ha &amp; per year'!G19</f>
        <v>519.17796852259983</v>
      </c>
      <c r="S12" s="82">
        <f>'BCA - WTP per ha &amp; per year'!$C$25</f>
        <v>133759749.10551776</v>
      </c>
      <c r="T12" s="44">
        <f>'BCA - WTP per ha &amp; per year'!$G$35</f>
        <v>432.64937219505606</v>
      </c>
      <c r="U12" s="82">
        <f>'BCA - WTP per ha &amp; per year'!$C$39</f>
        <v>110031472.1699243</v>
      </c>
      <c r="V12" s="44">
        <f>'BCA - WTP per ha &amp; per year'!$G$60</f>
        <v>605.70656485014376</v>
      </c>
      <c r="W12" s="82">
        <f>'BCA - WTP per ha &amp; per year'!$C$64</f>
        <v>157488026.04111123</v>
      </c>
    </row>
    <row r="13" spans="1:23" x14ac:dyDescent="0.35">
      <c r="A13">
        <v>2020</v>
      </c>
      <c r="B13">
        <v>3</v>
      </c>
      <c r="C13" s="36">
        <v>0</v>
      </c>
      <c r="D13" s="2">
        <f t="shared" si="4"/>
        <v>605.70656485014376</v>
      </c>
      <c r="E13">
        <f t="shared" si="5"/>
        <v>1227</v>
      </c>
      <c r="F13">
        <f t="shared" si="5"/>
        <v>0</v>
      </c>
      <c r="G13">
        <f t="shared" si="5"/>
        <v>300</v>
      </c>
      <c r="I13" s="5">
        <f t="shared" si="0"/>
        <v>0</v>
      </c>
      <c r="J13" s="39">
        <f t="shared" si="6"/>
        <v>0</v>
      </c>
      <c r="K13" s="5">
        <f t="shared" si="7"/>
        <v>0</v>
      </c>
      <c r="L13" s="5">
        <f t="shared" si="1"/>
        <v>0</v>
      </c>
      <c r="N13" s="5">
        <f t="shared" si="2"/>
        <v>0</v>
      </c>
      <c r="O13" s="5">
        <f t="shared" si="3"/>
        <v>0</v>
      </c>
      <c r="S13" s="26"/>
      <c r="T13" s="2"/>
    </row>
    <row r="14" spans="1:23" x14ac:dyDescent="0.35">
      <c r="A14">
        <v>2021</v>
      </c>
      <c r="B14">
        <v>4</v>
      </c>
      <c r="C14" s="36">
        <v>0</v>
      </c>
      <c r="D14" s="2">
        <f t="shared" si="4"/>
        <v>605.70656485014376</v>
      </c>
      <c r="E14">
        <f t="shared" si="5"/>
        <v>1227</v>
      </c>
      <c r="F14">
        <f t="shared" si="5"/>
        <v>0</v>
      </c>
      <c r="G14">
        <f t="shared" si="5"/>
        <v>300</v>
      </c>
      <c r="I14" s="5">
        <f t="shared" si="0"/>
        <v>0</v>
      </c>
      <c r="J14" s="39">
        <f t="shared" si="6"/>
        <v>0</v>
      </c>
      <c r="K14" s="5">
        <f t="shared" si="7"/>
        <v>0</v>
      </c>
      <c r="L14" s="5">
        <f t="shared" si="1"/>
        <v>0</v>
      </c>
      <c r="N14" s="5">
        <f t="shared" si="2"/>
        <v>0</v>
      </c>
      <c r="O14" s="5">
        <f t="shared" si="3"/>
        <v>0</v>
      </c>
      <c r="T14" s="2"/>
    </row>
    <row r="15" spans="1:23" x14ac:dyDescent="0.35">
      <c r="A15">
        <v>2022</v>
      </c>
      <c r="B15">
        <v>5</v>
      </c>
      <c r="C15" s="36">
        <v>0</v>
      </c>
      <c r="D15" s="2">
        <f t="shared" si="4"/>
        <v>605.70656485014376</v>
      </c>
      <c r="E15">
        <f t="shared" si="5"/>
        <v>1227</v>
      </c>
      <c r="F15">
        <f t="shared" si="5"/>
        <v>0</v>
      </c>
      <c r="G15">
        <f t="shared" si="5"/>
        <v>300</v>
      </c>
      <c r="I15" s="5">
        <f t="shared" si="0"/>
        <v>0</v>
      </c>
      <c r="J15" s="39">
        <f t="shared" si="6"/>
        <v>0</v>
      </c>
      <c r="K15" s="5">
        <f t="shared" si="7"/>
        <v>0</v>
      </c>
      <c r="L15" s="5">
        <f t="shared" si="1"/>
        <v>0</v>
      </c>
      <c r="N15" s="5">
        <f t="shared" si="2"/>
        <v>0</v>
      </c>
      <c r="O15" s="5">
        <f t="shared" si="3"/>
        <v>0</v>
      </c>
      <c r="T15" s="2"/>
    </row>
    <row r="16" spans="1:23" x14ac:dyDescent="0.35">
      <c r="A16">
        <v>2023</v>
      </c>
      <c r="B16">
        <v>6</v>
      </c>
      <c r="C16" s="36">
        <v>0</v>
      </c>
      <c r="D16" s="2">
        <f t="shared" si="4"/>
        <v>605.70656485014376</v>
      </c>
      <c r="E16">
        <f t="shared" si="5"/>
        <v>1227</v>
      </c>
      <c r="F16">
        <f t="shared" si="5"/>
        <v>0</v>
      </c>
      <c r="G16">
        <f t="shared" si="5"/>
        <v>300</v>
      </c>
      <c r="I16" s="5">
        <f t="shared" si="0"/>
        <v>0</v>
      </c>
      <c r="J16" s="39">
        <f t="shared" si="6"/>
        <v>0</v>
      </c>
      <c r="K16" s="5">
        <f t="shared" si="7"/>
        <v>0</v>
      </c>
      <c r="L16" s="5">
        <f t="shared" si="1"/>
        <v>0</v>
      </c>
      <c r="N16" s="5">
        <f t="shared" si="2"/>
        <v>0</v>
      </c>
      <c r="O16" s="5">
        <f t="shared" si="3"/>
        <v>0</v>
      </c>
      <c r="T16" s="2"/>
    </row>
    <row r="17" spans="1:23" x14ac:dyDescent="0.35">
      <c r="A17">
        <v>2024</v>
      </c>
      <c r="B17">
        <v>7</v>
      </c>
      <c r="C17" s="36">
        <v>0</v>
      </c>
      <c r="D17" s="2">
        <f t="shared" si="4"/>
        <v>605.70656485014376</v>
      </c>
      <c r="E17">
        <f t="shared" si="5"/>
        <v>1227</v>
      </c>
      <c r="F17">
        <f t="shared" si="5"/>
        <v>0</v>
      </c>
      <c r="G17">
        <f t="shared" si="5"/>
        <v>300</v>
      </c>
      <c r="I17" s="5">
        <f t="shared" si="0"/>
        <v>0</v>
      </c>
      <c r="J17" s="39">
        <f t="shared" si="6"/>
        <v>0</v>
      </c>
      <c r="K17" s="5">
        <f t="shared" si="7"/>
        <v>0</v>
      </c>
      <c r="L17" s="5">
        <f t="shared" si="1"/>
        <v>0</v>
      </c>
      <c r="N17" s="5">
        <f t="shared" si="2"/>
        <v>0</v>
      </c>
      <c r="O17" s="5">
        <f t="shared" si="3"/>
        <v>0</v>
      </c>
      <c r="Q17" s="69"/>
      <c r="R17" s="151" t="s">
        <v>12</v>
      </c>
      <c r="S17" s="151"/>
      <c r="T17" s="151" t="s">
        <v>12</v>
      </c>
      <c r="U17" s="151"/>
      <c r="V17" s="151" t="s">
        <v>12</v>
      </c>
      <c r="W17" s="151"/>
    </row>
    <row r="18" spans="1:23" x14ac:dyDescent="0.35">
      <c r="A18">
        <v>2025</v>
      </c>
      <c r="B18">
        <v>8</v>
      </c>
      <c r="C18" s="36">
        <v>0</v>
      </c>
      <c r="D18" s="2">
        <f t="shared" si="4"/>
        <v>605.70656485014376</v>
      </c>
      <c r="E18">
        <f t="shared" si="5"/>
        <v>1227</v>
      </c>
      <c r="F18">
        <f t="shared" si="5"/>
        <v>0</v>
      </c>
      <c r="G18">
        <f t="shared" si="5"/>
        <v>300</v>
      </c>
      <c r="I18" s="5">
        <f t="shared" si="0"/>
        <v>0</v>
      </c>
      <c r="J18" s="39">
        <f t="shared" si="6"/>
        <v>0</v>
      </c>
      <c r="K18" s="5">
        <f t="shared" si="7"/>
        <v>0</v>
      </c>
      <c r="L18" s="5">
        <f t="shared" si="1"/>
        <v>0</v>
      </c>
      <c r="N18" s="5">
        <f t="shared" si="2"/>
        <v>0</v>
      </c>
      <c r="O18" s="5">
        <f t="shared" si="3"/>
        <v>0</v>
      </c>
      <c r="Q18" s="69"/>
      <c r="R18" s="150" t="s">
        <v>76</v>
      </c>
      <c r="S18" s="150"/>
      <c r="T18" s="150" t="s">
        <v>100</v>
      </c>
      <c r="U18" s="150"/>
      <c r="V18" s="150" t="s">
        <v>102</v>
      </c>
      <c r="W18" s="150"/>
    </row>
    <row r="19" spans="1:23" x14ac:dyDescent="0.35">
      <c r="A19">
        <v>2026</v>
      </c>
      <c r="B19">
        <v>9</v>
      </c>
      <c r="C19" s="36">
        <v>0</v>
      </c>
      <c r="D19" s="2">
        <f t="shared" si="4"/>
        <v>605.70656485014376</v>
      </c>
      <c r="E19">
        <f t="shared" si="5"/>
        <v>1227</v>
      </c>
      <c r="F19">
        <f t="shared" si="5"/>
        <v>0</v>
      </c>
      <c r="G19">
        <f t="shared" si="5"/>
        <v>300</v>
      </c>
      <c r="I19" s="5">
        <f t="shared" si="0"/>
        <v>0</v>
      </c>
      <c r="J19" s="39">
        <f t="shared" si="6"/>
        <v>0</v>
      </c>
      <c r="K19" s="5">
        <f t="shared" si="7"/>
        <v>0</v>
      </c>
      <c r="L19" s="5">
        <f t="shared" si="1"/>
        <v>0</v>
      </c>
      <c r="N19" s="5">
        <f t="shared" si="2"/>
        <v>0</v>
      </c>
      <c r="O19" s="5">
        <f t="shared" si="3"/>
        <v>0</v>
      </c>
      <c r="Q19" s="69"/>
      <c r="S19" s="66" t="s">
        <v>65</v>
      </c>
      <c r="U19" s="66" t="s">
        <v>65</v>
      </c>
      <c r="W19" s="66" t="s">
        <v>65</v>
      </c>
    </row>
    <row r="20" spans="1:23" x14ac:dyDescent="0.35">
      <c r="A20">
        <v>2027</v>
      </c>
      <c r="B20">
        <v>10</v>
      </c>
      <c r="C20" s="36">
        <v>0</v>
      </c>
      <c r="D20" s="2">
        <f t="shared" si="4"/>
        <v>605.70656485014376</v>
      </c>
      <c r="E20">
        <f t="shared" si="5"/>
        <v>1227</v>
      </c>
      <c r="F20">
        <f t="shared" si="5"/>
        <v>0</v>
      </c>
      <c r="G20">
        <f t="shared" si="5"/>
        <v>300</v>
      </c>
      <c r="I20" s="5">
        <f t="shared" si="0"/>
        <v>0</v>
      </c>
      <c r="J20" s="39">
        <f>J19</f>
        <v>0</v>
      </c>
      <c r="K20" s="5">
        <f t="shared" si="7"/>
        <v>0</v>
      </c>
      <c r="L20" s="5">
        <f t="shared" si="1"/>
        <v>0</v>
      </c>
      <c r="N20" s="5">
        <f t="shared" si="2"/>
        <v>0</v>
      </c>
      <c r="O20" s="5">
        <f t="shared" si="3"/>
        <v>0</v>
      </c>
      <c r="Q20" s="68"/>
      <c r="R20" s="32" t="s">
        <v>50</v>
      </c>
      <c r="S20" s="37">
        <v>2.0778020866833327</v>
      </c>
      <c r="T20" s="32" t="s">
        <v>50</v>
      </c>
      <c r="U20" s="37">
        <v>1.7255565925385041</v>
      </c>
      <c r="V20" s="32" t="s">
        <v>50</v>
      </c>
      <c r="W20" s="37">
        <v>2.4300475808281612</v>
      </c>
    </row>
    <row r="21" spans="1:23" x14ac:dyDescent="0.35">
      <c r="A21">
        <v>2028</v>
      </c>
      <c r="B21">
        <v>11</v>
      </c>
      <c r="C21" s="61">
        <f>'BCA - WTP per ha &amp; per year'!D17/11</f>
        <v>42965.454545454544</v>
      </c>
      <c r="D21" s="2">
        <f t="shared" si="4"/>
        <v>605.70656485014376</v>
      </c>
      <c r="E21">
        <f t="shared" si="5"/>
        <v>1227</v>
      </c>
      <c r="F21">
        <f t="shared" si="5"/>
        <v>0</v>
      </c>
      <c r="G21">
        <f t="shared" si="5"/>
        <v>300</v>
      </c>
      <c r="I21" s="5">
        <f t="shared" si="0"/>
        <v>26024457.879952267</v>
      </c>
      <c r="J21" s="85">
        <f>$W$12</f>
        <v>157488026.04111123</v>
      </c>
      <c r="K21" s="5">
        <f t="shared" si="7"/>
        <v>65608249.090909094</v>
      </c>
      <c r="L21" s="5">
        <f t="shared" si="1"/>
        <v>80758000.27744101</v>
      </c>
      <c r="N21" s="5">
        <f t="shared" si="2"/>
        <v>44938089.000099048</v>
      </c>
      <c r="O21" s="5">
        <f t="shared" si="3"/>
        <v>125696089.27754006</v>
      </c>
      <c r="Q21" s="68"/>
      <c r="R21" s="32" t="s">
        <v>51</v>
      </c>
      <c r="S21" s="58">
        <v>1606687644.331862</v>
      </c>
      <c r="T21" s="32" t="s">
        <v>51</v>
      </c>
      <c r="U21" s="58">
        <v>1081592647.5726395</v>
      </c>
      <c r="V21" s="32" t="s">
        <v>51</v>
      </c>
      <c r="W21" s="58">
        <v>2131782641.0910838</v>
      </c>
    </row>
    <row r="22" spans="1:23" x14ac:dyDescent="0.35">
      <c r="A22">
        <v>2029</v>
      </c>
      <c r="B22">
        <v>12</v>
      </c>
      <c r="C22" s="61">
        <f>$C$21+C21</f>
        <v>85930.909090909088</v>
      </c>
      <c r="D22" s="2">
        <f t="shared" si="4"/>
        <v>605.70656485014376</v>
      </c>
      <c r="E22">
        <f t="shared" si="5"/>
        <v>1227</v>
      </c>
      <c r="F22">
        <f t="shared" si="5"/>
        <v>0</v>
      </c>
      <c r="G22">
        <f t="shared" si="5"/>
        <v>300</v>
      </c>
      <c r="I22" s="5">
        <f t="shared" si="0"/>
        <v>52048915.759904534</v>
      </c>
      <c r="J22" s="39">
        <f>J21</f>
        <v>157488026.04111123</v>
      </c>
      <c r="K22" s="5">
        <f t="shared" si="7"/>
        <v>78497885.454545453</v>
      </c>
      <c r="L22" s="5">
        <f t="shared" si="1"/>
        <v>86719458.913662136</v>
      </c>
      <c r="N22" s="5">
        <f t="shared" si="2"/>
        <v>51948589.544831336</v>
      </c>
      <c r="O22" s="5">
        <f t="shared" si="3"/>
        <v>138668048.45849347</v>
      </c>
      <c r="Q22" s="68"/>
      <c r="R22" s="90"/>
      <c r="S22" s="91"/>
      <c r="T22" s="90"/>
      <c r="U22" s="91"/>
      <c r="V22" s="90"/>
      <c r="W22" s="91"/>
    </row>
    <row r="23" spans="1:23" x14ac:dyDescent="0.35">
      <c r="A23">
        <v>2030</v>
      </c>
      <c r="B23">
        <v>13</v>
      </c>
      <c r="C23" s="61">
        <f t="shared" ref="C23:C31" si="8">$C$21+C22</f>
        <v>128896.36363636363</v>
      </c>
      <c r="D23" s="2">
        <f t="shared" si="4"/>
        <v>605.70656485014376</v>
      </c>
      <c r="E23">
        <f t="shared" si="5"/>
        <v>1227</v>
      </c>
      <c r="F23">
        <f t="shared" si="5"/>
        <v>0</v>
      </c>
      <c r="G23">
        <f t="shared" si="5"/>
        <v>300</v>
      </c>
      <c r="I23" s="5">
        <f t="shared" si="0"/>
        <v>78073373.6398568</v>
      </c>
      <c r="J23" s="39">
        <f t="shared" ref="J23:J43" si="9">J22</f>
        <v>157488026.04111123</v>
      </c>
      <c r="K23" s="5">
        <f t="shared" si="7"/>
        <v>91387521.818181813</v>
      </c>
      <c r="L23" s="5">
        <f t="shared" si="1"/>
        <v>92185376.250404567</v>
      </c>
      <c r="N23" s="5">
        <f t="shared" si="2"/>
        <v>58433560.977107354</v>
      </c>
      <c r="O23" s="5">
        <f t="shared" si="3"/>
        <v>150618937.22751194</v>
      </c>
      <c r="Q23" s="68"/>
      <c r="R23" s="90"/>
      <c r="S23" s="92"/>
      <c r="T23" s="90"/>
      <c r="U23" s="92"/>
      <c r="V23" s="90"/>
      <c r="W23" s="92"/>
    </row>
    <row r="24" spans="1:23" x14ac:dyDescent="0.35">
      <c r="A24">
        <v>2031</v>
      </c>
      <c r="B24">
        <v>14</v>
      </c>
      <c r="C24" s="61">
        <f t="shared" si="8"/>
        <v>171861.81818181818</v>
      </c>
      <c r="D24" s="2">
        <f t="shared" si="4"/>
        <v>605.70656485014376</v>
      </c>
      <c r="E24">
        <f t="shared" si="5"/>
        <v>1227</v>
      </c>
      <c r="F24">
        <f t="shared" si="5"/>
        <v>0</v>
      </c>
      <c r="G24">
        <f t="shared" si="5"/>
        <v>300</v>
      </c>
      <c r="I24" s="5">
        <f t="shared" si="0"/>
        <v>104097831.51980907</v>
      </c>
      <c r="J24" s="39">
        <f t="shared" si="9"/>
        <v>157488026.04111123</v>
      </c>
      <c r="K24" s="5">
        <f t="shared" si="7"/>
        <v>104277158.18181819</v>
      </c>
      <c r="L24" s="5">
        <f t="shared" si="1"/>
        <v>97182449.928516656</v>
      </c>
      <c r="N24" s="5">
        <f t="shared" si="2"/>
        <v>64420529.466527462</v>
      </c>
      <c r="O24" s="5">
        <f t="shared" si="3"/>
        <v>161602979.39504412</v>
      </c>
      <c r="Q24" s="69"/>
      <c r="U24" s="91"/>
    </row>
    <row r="25" spans="1:23" x14ac:dyDescent="0.35">
      <c r="A25">
        <v>2032</v>
      </c>
      <c r="B25">
        <v>15</v>
      </c>
      <c r="C25" s="61">
        <f t="shared" si="8"/>
        <v>214827.27272727271</v>
      </c>
      <c r="D25" s="2">
        <f t="shared" si="4"/>
        <v>605.70656485014376</v>
      </c>
      <c r="E25">
        <f t="shared" si="5"/>
        <v>1227</v>
      </c>
      <c r="F25">
        <f t="shared" si="5"/>
        <v>0</v>
      </c>
      <c r="G25">
        <f t="shared" si="5"/>
        <v>300</v>
      </c>
      <c r="I25" s="5">
        <f t="shared" si="0"/>
        <v>130122289.39976132</v>
      </c>
      <c r="J25" s="39">
        <f t="shared" si="9"/>
        <v>157488026.04111123</v>
      </c>
      <c r="K25" s="5">
        <f>(G25*C25)+(E25*(C25-C24))</f>
        <v>117166794.54545452</v>
      </c>
      <c r="L25" s="5">
        <f t="shared" si="1"/>
        <v>101736138.62785594</v>
      </c>
      <c r="N25" s="5">
        <f t="shared" si="2"/>
        <v>69935760.478521764</v>
      </c>
      <c r="O25" s="5">
        <f>(I25+J25)/(1+$J$5)^$B25</f>
        <v>171671899.10637769</v>
      </c>
      <c r="Q25" s="69"/>
      <c r="R25" s="152" t="s">
        <v>13</v>
      </c>
      <c r="S25" s="152"/>
      <c r="T25" s="152" t="s">
        <v>13</v>
      </c>
      <c r="U25" s="152"/>
      <c r="V25" s="152" t="s">
        <v>13</v>
      </c>
      <c r="W25" s="152"/>
    </row>
    <row r="26" spans="1:23" x14ac:dyDescent="0.35">
      <c r="A26">
        <v>2033</v>
      </c>
      <c r="B26">
        <v>16</v>
      </c>
      <c r="C26" s="61">
        <f t="shared" si="8"/>
        <v>257792.72727272724</v>
      </c>
      <c r="D26" s="2">
        <f t="shared" si="4"/>
        <v>605.70656485014376</v>
      </c>
      <c r="E26">
        <f t="shared" si="5"/>
        <v>1227</v>
      </c>
      <c r="F26">
        <f t="shared" si="5"/>
        <v>0</v>
      </c>
      <c r="G26">
        <f t="shared" si="5"/>
        <v>300</v>
      </c>
      <c r="I26" s="5">
        <f>D26*C26</f>
        <v>156146747.27971357</v>
      </c>
      <c r="J26" s="39">
        <f t="shared" si="9"/>
        <v>157488026.04111123</v>
      </c>
      <c r="K26" s="5">
        <f t="shared" si="7"/>
        <v>130056430.90909088</v>
      </c>
      <c r="L26" s="5">
        <f t="shared" si="1"/>
        <v>105870715.33164845</v>
      </c>
      <c r="N26" s="5">
        <f t="shared" si="2"/>
        <v>75004312.561798528</v>
      </c>
      <c r="O26" s="5">
        <f t="shared" si="3"/>
        <v>180875027.89344698</v>
      </c>
      <c r="Q26" s="68"/>
      <c r="R26" s="150" t="s">
        <v>77</v>
      </c>
      <c r="S26" s="150"/>
      <c r="T26" s="150" t="s">
        <v>101</v>
      </c>
      <c r="U26" s="150"/>
      <c r="V26" s="150" t="s">
        <v>103</v>
      </c>
      <c r="W26" s="150"/>
    </row>
    <row r="27" spans="1:23" x14ac:dyDescent="0.35">
      <c r="A27">
        <v>2034</v>
      </c>
      <c r="B27">
        <v>17</v>
      </c>
      <c r="C27" s="61">
        <f t="shared" si="8"/>
        <v>300758.18181818177</v>
      </c>
      <c r="D27" s="2">
        <f t="shared" si="4"/>
        <v>605.70656485014376</v>
      </c>
      <c r="E27">
        <f t="shared" si="5"/>
        <v>1227</v>
      </c>
      <c r="F27">
        <f t="shared" si="5"/>
        <v>0</v>
      </c>
      <c r="G27">
        <f t="shared" si="5"/>
        <v>300</v>
      </c>
      <c r="I27" s="5">
        <f t="shared" si="0"/>
        <v>182171205.15966585</v>
      </c>
      <c r="J27" s="39">
        <f t="shared" si="9"/>
        <v>157488026.04111123</v>
      </c>
      <c r="K27" s="5">
        <f t="shared" si="7"/>
        <v>142946067.27272725</v>
      </c>
      <c r="L27" s="5">
        <f t="shared" si="1"/>
        <v>109609318.40524291</v>
      </c>
      <c r="N27" s="5">
        <f t="shared" si="2"/>
        <v>79650088.939672962</v>
      </c>
      <c r="O27" s="5">
        <f t="shared" si="3"/>
        <v>189259407.34491587</v>
      </c>
      <c r="Q27" s="68"/>
      <c r="S27" s="66" t="s">
        <v>65</v>
      </c>
      <c r="U27" s="66" t="s">
        <v>65</v>
      </c>
      <c r="W27" s="66" t="s">
        <v>65</v>
      </c>
    </row>
    <row r="28" spans="1:23" x14ac:dyDescent="0.35">
      <c r="A28">
        <v>2035</v>
      </c>
      <c r="B28">
        <v>18</v>
      </c>
      <c r="C28" s="61">
        <f t="shared" si="8"/>
        <v>343723.63636363629</v>
      </c>
      <c r="D28" s="2">
        <f t="shared" si="4"/>
        <v>605.70656485014376</v>
      </c>
      <c r="E28">
        <f t="shared" ref="E28:G43" si="10">E27</f>
        <v>1227</v>
      </c>
      <c r="F28">
        <f t="shared" si="10"/>
        <v>0</v>
      </c>
      <c r="G28">
        <f t="shared" si="10"/>
        <v>300</v>
      </c>
      <c r="I28" s="5">
        <f t="shared" si="0"/>
        <v>208195663.0396181</v>
      </c>
      <c r="J28" s="39">
        <f>J27</f>
        <v>157488026.04111123</v>
      </c>
      <c r="K28" s="5">
        <f t="shared" si="7"/>
        <v>155835703.6363636</v>
      </c>
      <c r="L28" s="5">
        <f>(I28+J28-K28)/(1+$J$5)^B28</f>
        <v>112974000.57616694</v>
      </c>
      <c r="N28" s="5">
        <f t="shared" si="2"/>
        <v>83895886.992298067</v>
      </c>
      <c r="O28" s="5">
        <f t="shared" si="3"/>
        <v>196869887.56846502</v>
      </c>
      <c r="Q28" s="68"/>
      <c r="R28" s="32" t="s">
        <v>50</v>
      </c>
      <c r="S28" s="37">
        <v>2.3486651774706933</v>
      </c>
      <c r="T28" s="32" t="s">
        <v>50</v>
      </c>
      <c r="U28" s="37">
        <v>1.9464031162285376</v>
      </c>
      <c r="V28" s="32" t="s">
        <v>50</v>
      </c>
      <c r="W28" s="37">
        <v>2.7509272387128489</v>
      </c>
    </row>
    <row r="29" spans="1:23" x14ac:dyDescent="0.35">
      <c r="A29">
        <v>2036</v>
      </c>
      <c r="B29">
        <v>19</v>
      </c>
      <c r="C29" s="61">
        <f t="shared" si="8"/>
        <v>386689.09090909082</v>
      </c>
      <c r="D29" s="2">
        <f t="shared" si="4"/>
        <v>605.70656485014376</v>
      </c>
      <c r="E29">
        <f t="shared" si="10"/>
        <v>1227</v>
      </c>
      <c r="F29">
        <f t="shared" si="10"/>
        <v>0</v>
      </c>
      <c r="G29">
        <f t="shared" si="10"/>
        <v>300</v>
      </c>
      <c r="I29" s="5">
        <f t="shared" si="0"/>
        <v>234220120.91957036</v>
      </c>
      <c r="J29" s="39">
        <f t="shared" si="9"/>
        <v>157488026.04111123</v>
      </c>
      <c r="K29" s="5">
        <f t="shared" si="7"/>
        <v>168725339.99999994</v>
      </c>
      <c r="L29" s="5">
        <f t="shared" si="1"/>
        <v>115985775.89901523</v>
      </c>
      <c r="N29" s="5">
        <f t="shared" si="2"/>
        <v>87763445.713443995</v>
      </c>
      <c r="O29" s="5">
        <f t="shared" si="3"/>
        <v>203749221.61245924</v>
      </c>
      <c r="Q29" s="68"/>
      <c r="R29" s="32" t="s">
        <v>51</v>
      </c>
      <c r="S29" s="58">
        <v>2010465282.7782552</v>
      </c>
      <c r="T29" s="32" t="s">
        <v>51</v>
      </c>
      <c r="U29" s="58">
        <v>1410810214.7776964</v>
      </c>
      <c r="V29" s="32" t="s">
        <v>51</v>
      </c>
      <c r="W29" s="58">
        <v>2610120350.7788157</v>
      </c>
    </row>
    <row r="30" spans="1:23" x14ac:dyDescent="0.35">
      <c r="A30">
        <v>2037</v>
      </c>
      <c r="B30">
        <v>20</v>
      </c>
      <c r="C30" s="61">
        <f t="shared" si="8"/>
        <v>429654.54545454535</v>
      </c>
      <c r="D30" s="2">
        <f t="shared" si="4"/>
        <v>605.70656485014376</v>
      </c>
      <c r="E30">
        <f t="shared" si="10"/>
        <v>1227</v>
      </c>
      <c r="F30">
        <f t="shared" si="10"/>
        <v>0</v>
      </c>
      <c r="G30">
        <f t="shared" si="10"/>
        <v>300</v>
      </c>
      <c r="I30" s="5">
        <f t="shared" si="0"/>
        <v>260244578.79952261</v>
      </c>
      <c r="J30" s="39">
        <f t="shared" si="9"/>
        <v>157488026.04111123</v>
      </c>
      <c r="K30" s="5">
        <f t="shared" si="7"/>
        <v>181614976.36363631</v>
      </c>
      <c r="L30" s="5">
        <f t="shared" si="1"/>
        <v>118664664.78545091</v>
      </c>
      <c r="N30" s="5">
        <f>(K30)/(1+$J$5)^$B30</f>
        <v>91273491.222227842</v>
      </c>
      <c r="O30" s="5">
        <f t="shared" si="3"/>
        <v>209938156.00767875</v>
      </c>
      <c r="Q30" s="69"/>
      <c r="R30" s="90"/>
      <c r="S30" s="91"/>
      <c r="T30" s="90"/>
      <c r="U30" s="91"/>
      <c r="V30" s="90"/>
      <c r="W30" s="91"/>
    </row>
    <row r="31" spans="1:23" x14ac:dyDescent="0.35">
      <c r="A31">
        <v>2038</v>
      </c>
      <c r="B31">
        <v>21</v>
      </c>
      <c r="C31" s="61">
        <f t="shared" si="8"/>
        <v>472619.99999999988</v>
      </c>
      <c r="D31" s="2">
        <f t="shared" si="4"/>
        <v>605.70656485014376</v>
      </c>
      <c r="E31">
        <f t="shared" si="10"/>
        <v>1227</v>
      </c>
      <c r="F31">
        <f t="shared" si="10"/>
        <v>0</v>
      </c>
      <c r="G31">
        <f t="shared" si="10"/>
        <v>300</v>
      </c>
      <c r="I31" s="5">
        <f t="shared" si="0"/>
        <v>286269036.67947489</v>
      </c>
      <c r="J31" s="39">
        <f t="shared" si="9"/>
        <v>157488026.04111123</v>
      </c>
      <c r="K31" s="5">
        <f t="shared" si="7"/>
        <v>194504612.72727269</v>
      </c>
      <c r="L31" s="5">
        <f t="shared" si="1"/>
        <v>121029737.17647377</v>
      </c>
      <c r="N31" s="5">
        <f t="shared" si="2"/>
        <v>94445780.407073811</v>
      </c>
      <c r="O31" s="5">
        <f t="shared" si="3"/>
        <v>215475517.58354759</v>
      </c>
      <c r="Q31" s="69"/>
      <c r="R31" s="90"/>
      <c r="S31" s="92"/>
      <c r="T31" s="90"/>
      <c r="U31" s="92"/>
      <c r="V31" s="90"/>
      <c r="W31" s="92"/>
    </row>
    <row r="32" spans="1:23" x14ac:dyDescent="0.35">
      <c r="A32">
        <v>2039</v>
      </c>
      <c r="B32">
        <v>22</v>
      </c>
      <c r="C32" s="36">
        <f t="shared" ref="C32:C43" si="11">C31</f>
        <v>472619.99999999988</v>
      </c>
      <c r="D32" s="2">
        <f t="shared" si="4"/>
        <v>605.70656485014376</v>
      </c>
      <c r="E32">
        <f t="shared" si="10"/>
        <v>1227</v>
      </c>
      <c r="F32">
        <f t="shared" si="10"/>
        <v>0</v>
      </c>
      <c r="G32">
        <f t="shared" si="10"/>
        <v>300</v>
      </c>
      <c r="I32" s="5">
        <f t="shared" si="0"/>
        <v>286269036.67947489</v>
      </c>
      <c r="J32" s="39">
        <f t="shared" si="9"/>
        <v>157488026.04111123</v>
      </c>
      <c r="K32" s="5">
        <f t="shared" si="7"/>
        <v>141785999.99999997</v>
      </c>
      <c r="L32" s="5">
        <f t="shared" si="1"/>
        <v>141669914.54544368</v>
      </c>
      <c r="N32" s="5">
        <f t="shared" si="2"/>
        <v>66518991.332380079</v>
      </c>
      <c r="O32" s="5">
        <f t="shared" si="3"/>
        <v>208188905.87782374</v>
      </c>
      <c r="Q32" s="69"/>
      <c r="R32" s="68"/>
      <c r="S32" s="63"/>
    </row>
    <row r="33" spans="1:21" x14ac:dyDescent="0.35">
      <c r="A33">
        <v>2040</v>
      </c>
      <c r="B33">
        <v>23</v>
      </c>
      <c r="C33" s="36">
        <f t="shared" si="11"/>
        <v>472619.99999999988</v>
      </c>
      <c r="D33" s="2">
        <f t="shared" si="4"/>
        <v>605.70656485014376</v>
      </c>
      <c r="E33">
        <f t="shared" si="10"/>
        <v>1227</v>
      </c>
      <c r="F33">
        <f t="shared" si="10"/>
        <v>0</v>
      </c>
      <c r="G33">
        <f t="shared" si="10"/>
        <v>300</v>
      </c>
      <c r="I33" s="5">
        <f t="shared" si="0"/>
        <v>286269036.67947489</v>
      </c>
      <c r="J33" s="39">
        <f t="shared" si="9"/>
        <v>157488026.04111123</v>
      </c>
      <c r="K33" s="5">
        <f>(G33*C33)+(E33*(C33-C32))</f>
        <v>141785999.99999997</v>
      </c>
      <c r="L33" s="5">
        <f t="shared" si="1"/>
        <v>136879144.48835137</v>
      </c>
      <c r="N33" s="5">
        <f t="shared" si="2"/>
        <v>64269556.842879303</v>
      </c>
      <c r="O33" s="5">
        <f t="shared" si="3"/>
        <v>201148701.33123067</v>
      </c>
      <c r="Q33" s="69"/>
      <c r="R33" s="71"/>
      <c r="S33" s="71"/>
      <c r="T33" s="71"/>
      <c r="U33" s="72"/>
    </row>
    <row r="34" spans="1:21" x14ac:dyDescent="0.35">
      <c r="A34">
        <v>2041</v>
      </c>
      <c r="B34">
        <v>24</v>
      </c>
      <c r="C34" s="36">
        <f t="shared" si="11"/>
        <v>472619.99999999988</v>
      </c>
      <c r="D34" s="2">
        <f t="shared" si="4"/>
        <v>605.70656485014376</v>
      </c>
      <c r="E34">
        <f t="shared" si="10"/>
        <v>1227</v>
      </c>
      <c r="F34">
        <f t="shared" si="10"/>
        <v>0</v>
      </c>
      <c r="G34">
        <f t="shared" si="10"/>
        <v>300</v>
      </c>
      <c r="I34" s="5">
        <f t="shared" si="0"/>
        <v>286269036.67947489</v>
      </c>
      <c r="J34" s="39">
        <f t="shared" si="9"/>
        <v>157488026.04111123</v>
      </c>
      <c r="K34" s="5">
        <f>(G34*C34)+(E34*(C34-C33))</f>
        <v>141785999.99999997</v>
      </c>
      <c r="L34" s="5">
        <f t="shared" si="1"/>
        <v>132250381.14816561</v>
      </c>
      <c r="N34" s="5">
        <f t="shared" si="2"/>
        <v>62096190.186356828</v>
      </c>
      <c r="O34" s="5">
        <f t="shared" si="3"/>
        <v>194346571.33452243</v>
      </c>
      <c r="Q34" s="68"/>
      <c r="R34" s="69"/>
      <c r="S34" s="83"/>
      <c r="T34" s="83"/>
      <c r="U34" s="62"/>
    </row>
    <row r="35" spans="1:21" x14ac:dyDescent="0.35">
      <c r="A35">
        <v>2042</v>
      </c>
      <c r="B35">
        <v>25</v>
      </c>
      <c r="C35" s="36">
        <f t="shared" si="11"/>
        <v>472619.99999999988</v>
      </c>
      <c r="D35" s="2">
        <f t="shared" si="4"/>
        <v>605.70656485014376</v>
      </c>
      <c r="E35">
        <f t="shared" si="10"/>
        <v>1227</v>
      </c>
      <c r="F35">
        <f t="shared" si="10"/>
        <v>0</v>
      </c>
      <c r="G35">
        <f t="shared" si="10"/>
        <v>300</v>
      </c>
      <c r="I35" s="5">
        <f t="shared" si="0"/>
        <v>286269036.67947489</v>
      </c>
      <c r="J35" s="39">
        <f t="shared" si="9"/>
        <v>157488026.04111123</v>
      </c>
      <c r="K35" s="5">
        <f t="shared" si="7"/>
        <v>141785999.99999997</v>
      </c>
      <c r="L35" s="5">
        <f t="shared" si="1"/>
        <v>127778146.03687501</v>
      </c>
      <c r="N35" s="5">
        <f t="shared" si="2"/>
        <v>59996319.020634621</v>
      </c>
      <c r="O35" s="5">
        <f>(I35+J35)/(1+$J$5)^$B35</f>
        <v>187774465.0575096</v>
      </c>
      <c r="Q35" s="68"/>
      <c r="R35" s="68"/>
      <c r="S35" s="62"/>
      <c r="T35" s="62"/>
      <c r="U35" s="62"/>
    </row>
    <row r="36" spans="1:21" x14ac:dyDescent="0.35">
      <c r="A36">
        <v>2043</v>
      </c>
      <c r="B36">
        <v>26</v>
      </c>
      <c r="C36" s="36">
        <f t="shared" si="11"/>
        <v>472619.99999999988</v>
      </c>
      <c r="D36" s="2">
        <f t="shared" si="4"/>
        <v>605.70656485014376</v>
      </c>
      <c r="E36">
        <f t="shared" si="10"/>
        <v>1227</v>
      </c>
      <c r="F36">
        <f t="shared" si="10"/>
        <v>0</v>
      </c>
      <c r="G36">
        <f t="shared" si="10"/>
        <v>300</v>
      </c>
      <c r="I36" s="5">
        <f t="shared" si="0"/>
        <v>286269036.67947489</v>
      </c>
      <c r="J36" s="39">
        <f t="shared" si="9"/>
        <v>157488026.04111123</v>
      </c>
      <c r="K36" s="5">
        <f t="shared" si="7"/>
        <v>141785999.99999997</v>
      </c>
      <c r="L36" s="5">
        <f t="shared" si="1"/>
        <v>123457145.92934783</v>
      </c>
      <c r="N36" s="5">
        <f t="shared" si="2"/>
        <v>57967457.990951329</v>
      </c>
      <c r="O36" s="5">
        <f t="shared" si="3"/>
        <v>181424603.92029914</v>
      </c>
      <c r="Q36" s="68"/>
      <c r="R36" s="68"/>
      <c r="S36" s="63"/>
      <c r="T36" s="63"/>
      <c r="U36" s="63"/>
    </row>
    <row r="37" spans="1:21" x14ac:dyDescent="0.35">
      <c r="A37">
        <v>2044</v>
      </c>
      <c r="B37">
        <v>27</v>
      </c>
      <c r="C37" s="36">
        <f t="shared" si="11"/>
        <v>472619.99999999988</v>
      </c>
      <c r="D37" s="2">
        <f t="shared" si="4"/>
        <v>605.70656485014376</v>
      </c>
      <c r="E37">
        <f t="shared" si="10"/>
        <v>1227</v>
      </c>
      <c r="F37">
        <f t="shared" si="10"/>
        <v>0</v>
      </c>
      <c r="G37">
        <f t="shared" si="10"/>
        <v>300</v>
      </c>
      <c r="I37" s="5">
        <f t="shared" si="0"/>
        <v>286269036.67947489</v>
      </c>
      <c r="J37" s="39">
        <f t="shared" si="9"/>
        <v>157488026.04111123</v>
      </c>
      <c r="K37" s="5">
        <f t="shared" si="7"/>
        <v>141785999.99999997</v>
      </c>
      <c r="L37" s="5">
        <f t="shared" si="1"/>
        <v>119282266.59840371</v>
      </c>
      <c r="N37" s="5">
        <f t="shared" si="2"/>
        <v>56007205.78835877</v>
      </c>
      <c r="O37" s="5">
        <f t="shared" si="3"/>
        <v>175289472.38676247</v>
      </c>
      <c r="Q37" s="68"/>
      <c r="R37" s="63"/>
      <c r="S37" s="63"/>
      <c r="T37" s="63"/>
      <c r="U37" s="63"/>
    </row>
    <row r="38" spans="1:21" x14ac:dyDescent="0.35">
      <c r="A38">
        <v>2045</v>
      </c>
      <c r="B38">
        <v>28</v>
      </c>
      <c r="C38" s="36">
        <f t="shared" si="11"/>
        <v>472619.99999999988</v>
      </c>
      <c r="D38" s="2">
        <f t="shared" si="4"/>
        <v>605.70656485014376</v>
      </c>
      <c r="E38">
        <f t="shared" si="10"/>
        <v>1227</v>
      </c>
      <c r="F38">
        <f t="shared" si="10"/>
        <v>0</v>
      </c>
      <c r="G38">
        <f t="shared" si="10"/>
        <v>300</v>
      </c>
      <c r="I38" s="5">
        <f t="shared" si="0"/>
        <v>286269036.67947489</v>
      </c>
      <c r="J38" s="39">
        <f t="shared" si="9"/>
        <v>157488026.04111123</v>
      </c>
      <c r="K38" s="5">
        <f t="shared" si="7"/>
        <v>141785999.99999997</v>
      </c>
      <c r="L38" s="5">
        <f t="shared" si="1"/>
        <v>115248566.76174271</v>
      </c>
      <c r="N38" s="5">
        <f t="shared" si="2"/>
        <v>54113242.307593018</v>
      </c>
      <c r="O38" s="5">
        <f t="shared" si="3"/>
        <v>169361809.0693357</v>
      </c>
      <c r="Q38" s="69"/>
      <c r="R38" s="71"/>
      <c r="S38" s="71"/>
      <c r="T38" s="71"/>
      <c r="U38" s="71"/>
    </row>
    <row r="39" spans="1:21" x14ac:dyDescent="0.35">
      <c r="A39">
        <v>2046</v>
      </c>
      <c r="B39">
        <v>29</v>
      </c>
      <c r="C39" s="36">
        <f t="shared" si="11"/>
        <v>472619.99999999988</v>
      </c>
      <c r="D39" s="2">
        <f t="shared" si="4"/>
        <v>605.70656485014376</v>
      </c>
      <c r="E39">
        <f t="shared" si="10"/>
        <v>1227</v>
      </c>
      <c r="F39">
        <f t="shared" si="10"/>
        <v>0</v>
      </c>
      <c r="G39">
        <f t="shared" si="10"/>
        <v>300</v>
      </c>
      <c r="I39" s="5">
        <f t="shared" si="0"/>
        <v>286269036.67947489</v>
      </c>
      <c r="J39" s="39">
        <f t="shared" si="9"/>
        <v>157488026.04111123</v>
      </c>
      <c r="K39" s="5">
        <f t="shared" si="7"/>
        <v>141785999.99999997</v>
      </c>
      <c r="L39" s="5">
        <f t="shared" si="1"/>
        <v>111351272.23356786</v>
      </c>
      <c r="N39" s="5">
        <f t="shared" si="2"/>
        <v>52283325.901056066</v>
      </c>
      <c r="O39" s="5">
        <f t="shared" si="3"/>
        <v>163634598.13462391</v>
      </c>
      <c r="Q39" s="69"/>
      <c r="R39" s="72"/>
      <c r="S39" s="72"/>
      <c r="T39" s="72"/>
      <c r="U39" s="72"/>
    </row>
    <row r="40" spans="1:21" x14ac:dyDescent="0.35">
      <c r="A40">
        <v>2047</v>
      </c>
      <c r="B40">
        <v>30</v>
      </c>
      <c r="C40" s="36">
        <f t="shared" si="11"/>
        <v>472619.99999999988</v>
      </c>
      <c r="D40" s="2">
        <f t="shared" si="4"/>
        <v>605.70656485014376</v>
      </c>
      <c r="E40">
        <f t="shared" si="10"/>
        <v>1227</v>
      </c>
      <c r="F40">
        <f t="shared" si="10"/>
        <v>0</v>
      </c>
      <c r="G40">
        <f t="shared" si="10"/>
        <v>300</v>
      </c>
      <c r="I40" s="5">
        <f t="shared" si="0"/>
        <v>286269036.67947489</v>
      </c>
      <c r="J40" s="39">
        <f t="shared" si="9"/>
        <v>157488026.04111123</v>
      </c>
      <c r="K40" s="5">
        <f t="shared" si="7"/>
        <v>141785999.99999997</v>
      </c>
      <c r="L40" s="5">
        <f t="shared" si="1"/>
        <v>107585770.27397861</v>
      </c>
      <c r="N40" s="5">
        <f t="shared" si="2"/>
        <v>50515290.725658029</v>
      </c>
      <c r="O40" s="5">
        <f t="shared" si="3"/>
        <v>158101060.99963662</v>
      </c>
      <c r="Q40" s="68"/>
      <c r="R40" s="62"/>
      <c r="S40" s="62"/>
      <c r="T40" s="62"/>
      <c r="U40" s="62"/>
    </row>
    <row r="41" spans="1:21" x14ac:dyDescent="0.35">
      <c r="A41">
        <v>2048</v>
      </c>
      <c r="B41">
        <v>31</v>
      </c>
      <c r="C41" s="36">
        <f t="shared" si="11"/>
        <v>472619.99999999988</v>
      </c>
      <c r="D41" s="2">
        <f t="shared" si="4"/>
        <v>605.70656485014376</v>
      </c>
      <c r="E41">
        <f t="shared" si="10"/>
        <v>1227</v>
      </c>
      <c r="F41">
        <f t="shared" si="10"/>
        <v>0</v>
      </c>
      <c r="G41">
        <f t="shared" si="10"/>
        <v>300</v>
      </c>
      <c r="I41" s="5">
        <f t="shared" si="0"/>
        <v>286269036.67947489</v>
      </c>
      <c r="J41" s="39">
        <f t="shared" si="9"/>
        <v>157488026.04111123</v>
      </c>
      <c r="K41" s="5">
        <f>(G41*C41)+(E41*(C41-C40))</f>
        <v>141785999.99999997</v>
      </c>
      <c r="L41" s="5">
        <f>(I41+J41-K41)/(1+$J$6)^B41</f>
        <v>120784543.29886307</v>
      </c>
      <c r="N41" s="5">
        <f>(K41)/(1+$J$6)^$B41</f>
        <v>56712577.36380811</v>
      </c>
      <c r="O41" s="5">
        <f>(I41+J41)/(1+$J$6)^$B41</f>
        <v>177497120.66267118</v>
      </c>
      <c r="Q41" s="68"/>
      <c r="R41" s="62"/>
      <c r="S41" s="62"/>
      <c r="T41" s="62"/>
      <c r="U41" s="62"/>
    </row>
    <row r="42" spans="1:21" x14ac:dyDescent="0.35">
      <c r="A42">
        <v>2049</v>
      </c>
      <c r="B42">
        <v>32</v>
      </c>
      <c r="C42" s="36">
        <f t="shared" si="11"/>
        <v>472619.99999999988</v>
      </c>
      <c r="D42" s="2">
        <f t="shared" si="4"/>
        <v>605.70656485014376</v>
      </c>
      <c r="E42">
        <f t="shared" si="10"/>
        <v>1227</v>
      </c>
      <c r="F42">
        <f t="shared" si="10"/>
        <v>0</v>
      </c>
      <c r="G42">
        <f t="shared" si="10"/>
        <v>300</v>
      </c>
      <c r="I42" s="5">
        <f t="shared" si="0"/>
        <v>286269036.67947489</v>
      </c>
      <c r="J42" s="39">
        <f t="shared" si="9"/>
        <v>157488026.04111123</v>
      </c>
      <c r="K42" s="5">
        <f t="shared" si="7"/>
        <v>141785999.99999997</v>
      </c>
      <c r="L42" s="5">
        <f>(I42+J42-K42)/(1+$J$6)^B42</f>
        <v>117266546.8921001</v>
      </c>
      <c r="N42" s="5">
        <f>(K42)/(1+$J$6)^$B42</f>
        <v>55060754.722143807</v>
      </c>
      <c r="O42" s="5">
        <f>(I42+J42)/(1+$J$6)^$B42</f>
        <v>172327301.61424389</v>
      </c>
      <c r="Q42" s="68"/>
      <c r="R42" s="63"/>
      <c r="S42" s="63"/>
      <c r="T42" s="63"/>
      <c r="U42" s="63"/>
    </row>
    <row r="43" spans="1:21" x14ac:dyDescent="0.35">
      <c r="A43">
        <v>2050</v>
      </c>
      <c r="B43">
        <v>33</v>
      </c>
      <c r="C43" s="36">
        <f t="shared" si="11"/>
        <v>472619.99999999988</v>
      </c>
      <c r="D43" s="2">
        <f t="shared" si="4"/>
        <v>605.70656485014376</v>
      </c>
      <c r="E43">
        <f t="shared" si="10"/>
        <v>1227</v>
      </c>
      <c r="F43">
        <f t="shared" si="10"/>
        <v>0</v>
      </c>
      <c r="G43">
        <f t="shared" si="10"/>
        <v>300</v>
      </c>
      <c r="I43" s="5">
        <f t="shared" si="0"/>
        <v>286269036.67947489</v>
      </c>
      <c r="J43" s="39">
        <f t="shared" si="9"/>
        <v>157488026.04111123</v>
      </c>
      <c r="K43" s="5">
        <f t="shared" si="7"/>
        <v>141785999.99999997</v>
      </c>
      <c r="L43" s="5">
        <f>(I43+J43-K43)/(1+$J$6)^B43</f>
        <v>113851016.40009716</v>
      </c>
      <c r="N43" s="5">
        <f>(K43)/(1+$J$6)^$B43</f>
        <v>53457043.419557095</v>
      </c>
      <c r="O43" s="5">
        <f>(I43+J43)/(1+$J$6)^$B43</f>
        <v>167308059.81965426</v>
      </c>
      <c r="Q43" s="68"/>
      <c r="R43" s="63"/>
      <c r="S43" s="63"/>
      <c r="T43" s="63"/>
      <c r="U43" s="63"/>
    </row>
    <row r="44" spans="1:21" ht="15" thickBot="1" x14ac:dyDescent="0.4"/>
    <row r="45" spans="1:21" ht="15" thickBot="1" x14ac:dyDescent="0.4">
      <c r="A45" s="32"/>
      <c r="C45" s="36"/>
      <c r="I45" s="5"/>
      <c r="J45" s="5"/>
      <c r="K45" s="45" t="s">
        <v>41</v>
      </c>
      <c r="L45" s="44">
        <f>SUM(L10:L43)</f>
        <v>2610120350.7788157</v>
      </c>
      <c r="N45" s="5">
        <f>SUM(N10:N43)</f>
        <v>1490707490.9049792</v>
      </c>
      <c r="O45" s="5">
        <f>SUM(O10:O43)</f>
        <v>4100827841.683794</v>
      </c>
    </row>
    <row r="46" spans="1:21" ht="15" thickBot="1" x14ac:dyDescent="0.4">
      <c r="C46" s="36"/>
      <c r="I46" s="149"/>
      <c r="J46" s="149"/>
    </row>
    <row r="47" spans="1:21" ht="15" thickBot="1" x14ac:dyDescent="0.4">
      <c r="C47" s="59"/>
      <c r="D47" s="40"/>
      <c r="N47" s="46" t="s">
        <v>42</v>
      </c>
      <c r="O47" s="47">
        <f>O45/N45</f>
        <v>2.7509272387128489</v>
      </c>
    </row>
    <row r="49" spans="3:15" x14ac:dyDescent="0.35">
      <c r="C49" s="36"/>
      <c r="D49" s="2"/>
      <c r="I49" s="5"/>
      <c r="J49" s="39"/>
      <c r="K49" s="5"/>
      <c r="L49" s="5"/>
      <c r="N49" s="5"/>
      <c r="O49" s="5"/>
    </row>
    <row r="50" spans="3:15" x14ac:dyDescent="0.35">
      <c r="C50" s="142" t="s">
        <v>166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5"/>
    </row>
    <row r="51" spans="3:15" x14ac:dyDescent="0.35"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5"/>
    </row>
  </sheetData>
  <mergeCells count="18">
    <mergeCell ref="T26:U26"/>
    <mergeCell ref="V26:W26"/>
    <mergeCell ref="V9:W9"/>
    <mergeCell ref="T17:U17"/>
    <mergeCell ref="V17:W17"/>
    <mergeCell ref="T18:U18"/>
    <mergeCell ref="V18:W18"/>
    <mergeCell ref="T9:U9"/>
    <mergeCell ref="T25:U25"/>
    <mergeCell ref="V25:W25"/>
    <mergeCell ref="C50:N51"/>
    <mergeCell ref="I46:J46"/>
    <mergeCell ref="I8:J8"/>
    <mergeCell ref="R9:S9"/>
    <mergeCell ref="R17:S17"/>
    <mergeCell ref="R18:S18"/>
    <mergeCell ref="R25:S25"/>
    <mergeCell ref="R26:S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Tables 3-4</vt:lpstr>
      <vt:lpstr>Pure RRM</vt:lpstr>
      <vt:lpstr>BCA - WTP per ha &amp; per year</vt:lpstr>
      <vt:lpstr>BCA - NPV_+10%overSQ, early</vt:lpstr>
      <vt:lpstr>BCA - NPV_+20%overSQ, early</vt:lpstr>
      <vt:lpstr>BCA - NPV_+30%overSQ, early</vt:lpstr>
      <vt:lpstr>BCA - NPV_+10%overSQ, midway</vt:lpstr>
      <vt:lpstr>BCA - NPV_+20%overSQ, midway</vt:lpstr>
      <vt:lpstr>BCA - NPV_+30%overSQ, midway</vt:lpstr>
      <vt:lpstr>BCA - NPV_+10%overSQ, late</vt:lpstr>
      <vt:lpstr>BCA - NPV_+20%overSQ, late</vt:lpstr>
      <vt:lpstr>BCA - NPV_+30%overSQ, late</vt:lpstr>
      <vt:lpstr>BCA - Summary</vt:lpstr>
    </vt:vector>
  </TitlesOfParts>
  <Company>SRUC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Glenk</dc:creator>
  <cp:lastModifiedBy>Faccioli, Michela</cp:lastModifiedBy>
  <dcterms:created xsi:type="dcterms:W3CDTF">2017-03-20T14:09:17Z</dcterms:created>
  <dcterms:modified xsi:type="dcterms:W3CDTF">2021-09-18T10:04:04Z</dcterms:modified>
</cp:coreProperties>
</file>